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840" windowHeight="11730"/>
  </bookViews>
  <sheets>
    <sheet name="2-П СВОД" sheetId="6" r:id="rId1"/>
  </sheets>
  <definedNames>
    <definedName name="_xlnm.Print_Titles" localSheetId="0">'2-П СВОД'!$6:$8</definedName>
    <definedName name="_xlnm.Print_Area" localSheetId="0">'2-П СВОД'!$A$1:$M$132</definedName>
  </definedNames>
  <calcPr calcId="124519"/>
</workbook>
</file>

<file path=xl/calcChain.xml><?xml version="1.0" encoding="utf-8"?>
<calcChain xmlns="http://schemas.openxmlformats.org/spreadsheetml/2006/main">
  <c r="I125" i="6"/>
  <c r="H125"/>
  <c r="G125"/>
  <c r="F125"/>
  <c r="E125"/>
  <c r="K126"/>
  <c r="K125" s="1"/>
  <c r="J126"/>
  <c r="L126" s="1"/>
  <c r="L125" s="1"/>
  <c r="I126"/>
  <c r="H126"/>
  <c r="I116"/>
  <c r="K116" s="1"/>
  <c r="M116" s="1"/>
  <c r="H116"/>
  <c r="J116" s="1"/>
  <c r="L116" s="1"/>
  <c r="I114"/>
  <c r="K114" s="1"/>
  <c r="M114" s="1"/>
  <c r="H114"/>
  <c r="J114" s="1"/>
  <c r="L114" s="1"/>
  <c r="G115"/>
  <c r="H115" s="1"/>
  <c r="J115" s="1"/>
  <c r="J121"/>
  <c r="L121" s="1"/>
  <c r="I121"/>
  <c r="K121" s="1"/>
  <c r="M121" s="1"/>
  <c r="H121"/>
  <c r="K120"/>
  <c r="J120"/>
  <c r="G119"/>
  <c r="G118" s="1"/>
  <c r="F118"/>
  <c r="E118"/>
  <c r="G111"/>
  <c r="H111" s="1"/>
  <c r="J111" s="1"/>
  <c r="L111" s="1"/>
  <c r="I110"/>
  <c r="K110" s="1"/>
  <c r="M110" s="1"/>
  <c r="G110"/>
  <c r="H110" s="1"/>
  <c r="J110" s="1"/>
  <c r="L110" s="1"/>
  <c r="G88"/>
  <c r="M88"/>
  <c r="K88"/>
  <c r="I88"/>
  <c r="M75"/>
  <c r="M74" s="1"/>
  <c r="M73" s="1"/>
  <c r="L75"/>
  <c r="L74" s="1"/>
  <c r="L73" s="1"/>
  <c r="L102" s="1"/>
  <c r="K75"/>
  <c r="K74" s="1"/>
  <c r="K73" s="1"/>
  <c r="K102" s="1"/>
  <c r="J75"/>
  <c r="I75"/>
  <c r="I74" s="1"/>
  <c r="I73" s="1"/>
  <c r="H75"/>
  <c r="H74" s="1"/>
  <c r="H73" s="1"/>
  <c r="H102" s="1"/>
  <c r="J74"/>
  <c r="J73" s="1"/>
  <c r="J102" s="1"/>
  <c r="G74"/>
  <c r="G73" s="1"/>
  <c r="G58"/>
  <c r="H58" s="1"/>
  <c r="J58" s="1"/>
  <c r="L58" s="1"/>
  <c r="J55"/>
  <c r="L55" s="1"/>
  <c r="I55"/>
  <c r="K55" s="1"/>
  <c r="M55" s="1"/>
  <c r="H55"/>
  <c r="I54"/>
  <c r="K54" s="1"/>
  <c r="M54" s="1"/>
  <c r="H54"/>
  <c r="J54" s="1"/>
  <c r="L54" s="1"/>
  <c r="H50"/>
  <c r="I50" s="1"/>
  <c r="K50" s="1"/>
  <c r="M50" s="1"/>
  <c r="G50"/>
  <c r="J125" l="1"/>
  <c r="M126"/>
  <c r="M125" s="1"/>
  <c r="M102"/>
  <c r="I115"/>
  <c r="I111"/>
  <c r="K111" s="1"/>
  <c r="M111" s="1"/>
  <c r="J50"/>
  <c r="L50" s="1"/>
  <c r="I119"/>
  <c r="K119" s="1"/>
  <c r="M119" s="1"/>
  <c r="M118" s="1"/>
  <c r="H119"/>
  <c r="J119" s="1"/>
  <c r="L119" s="1"/>
  <c r="L118" s="1"/>
  <c r="K118"/>
  <c r="I118"/>
  <c r="H118"/>
  <c r="I58"/>
  <c r="K58" s="1"/>
  <c r="M58" s="1"/>
  <c r="I102"/>
  <c r="G102"/>
  <c r="G47"/>
  <c r="I47" s="1"/>
  <c r="K47" s="1"/>
  <c r="M47" s="1"/>
  <c r="I43"/>
  <c r="K43" s="1"/>
  <c r="M43" s="1"/>
  <c r="H43"/>
  <c r="J43" s="1"/>
  <c r="L43" s="1"/>
  <c r="F33"/>
  <c r="G33" s="1"/>
  <c r="G25"/>
  <c r="I25" s="1"/>
  <c r="K25" s="1"/>
  <c r="M25" s="1"/>
  <c r="H20"/>
  <c r="J20" s="1"/>
  <c r="L20" s="1"/>
  <c r="G20"/>
  <c r="I20" s="1"/>
  <c r="K20" s="1"/>
  <c r="M20" s="1"/>
  <c r="I18"/>
  <c r="K18" s="1"/>
  <c r="M18" s="1"/>
  <c r="H18"/>
  <c r="J18" s="1"/>
  <c r="L18" s="1"/>
  <c r="I16"/>
  <c r="K16" s="1"/>
  <c r="M16" s="1"/>
  <c r="H16"/>
  <c r="J16" s="1"/>
  <c r="L16" s="1"/>
  <c r="I15"/>
  <c r="K15" s="1"/>
  <c r="H15"/>
  <c r="J15" s="1"/>
  <c r="J14"/>
  <c r="L14" s="1"/>
  <c r="I14"/>
  <c r="K14" s="1"/>
  <c r="M14" s="1"/>
  <c r="H14"/>
  <c r="I13"/>
  <c r="K13" s="1"/>
  <c r="M13" s="1"/>
  <c r="H13"/>
  <c r="J13" s="1"/>
  <c r="L13" s="1"/>
  <c r="I12"/>
  <c r="K12" s="1"/>
  <c r="M12" s="1"/>
  <c r="H12"/>
  <c r="J12" s="1"/>
  <c r="L12" s="1"/>
  <c r="I11"/>
  <c r="K11" s="1"/>
  <c r="M11" s="1"/>
  <c r="H11"/>
  <c r="J11" s="1"/>
  <c r="L11" s="1"/>
  <c r="H25" l="1"/>
  <c r="J25" s="1"/>
  <c r="L25" s="1"/>
  <c r="K115"/>
  <c r="M115" s="1"/>
  <c r="L115"/>
  <c r="J118"/>
  <c r="H33"/>
  <c r="J33" s="1"/>
  <c r="L33" s="1"/>
  <c r="I33"/>
  <c r="K33" s="1"/>
  <c r="M33" s="1"/>
  <c r="H47"/>
  <c r="J47" s="1"/>
  <c r="L47" s="1"/>
  <c r="K17"/>
  <c r="M15"/>
  <c r="M17" s="1"/>
  <c r="J17"/>
  <c r="L15"/>
  <c r="L17" s="1"/>
  <c r="I17"/>
  <c r="H17"/>
</calcChain>
</file>

<file path=xl/sharedStrings.xml><?xml version="1.0" encoding="utf-8"?>
<sst xmlns="http://schemas.openxmlformats.org/spreadsheetml/2006/main" count="641" uniqueCount="277">
  <si>
    <t>Показатели</t>
  </si>
  <si>
    <t>Единица измерения</t>
  </si>
  <si>
    <t>отчет *</t>
  </si>
  <si>
    <t>оценка показателя</t>
  </si>
  <si>
    <t>консервативный</t>
  </si>
  <si>
    <t>прогноз</t>
  </si>
  <si>
    <t>Население</t>
  </si>
  <si>
    <t>1.1</t>
  </si>
  <si>
    <t>Численность населения (в среднегодовом исчислении)</t>
  </si>
  <si>
    <t>1.2</t>
  </si>
  <si>
    <t>Численность населения (на 1 января года)</t>
  </si>
  <si>
    <t>1.3</t>
  </si>
  <si>
    <t>1.4</t>
  </si>
  <si>
    <t>1.5</t>
  </si>
  <si>
    <t>1.6</t>
  </si>
  <si>
    <t>Общий коэффициент рождаемости</t>
  </si>
  <si>
    <t>1.7</t>
  </si>
  <si>
    <t>1.8</t>
  </si>
  <si>
    <t>Общий коэффициент смертности</t>
  </si>
  <si>
    <t>Коэффициент естественного прироста населения</t>
  </si>
  <si>
    <t>2.1</t>
  </si>
  <si>
    <t>2.2</t>
  </si>
  <si>
    <t>2.3</t>
  </si>
  <si>
    <t>Промышленное производство</t>
  </si>
  <si>
    <t>3.1</t>
  </si>
  <si>
    <t>3.2</t>
  </si>
  <si>
    <t>3.3</t>
  </si>
  <si>
    <t>3.4</t>
  </si>
  <si>
    <t>3.5</t>
  </si>
  <si>
    <t>Численность населения трудоспособного возраста
(на 1 января года)</t>
  </si>
  <si>
    <t>3.6</t>
  </si>
  <si>
    <t>тыс. чел.</t>
  </si>
  <si>
    <t>число родившихся живыми
на 1000 человек населения</t>
  </si>
  <si>
    <t>Численность населения старше трудоспособного возраста
(на 1 января года)</t>
  </si>
  <si>
    <t>число умерших на 1000 человек населения</t>
  </si>
  <si>
    <t>на 1000 человек населения</t>
  </si>
  <si>
    <t>% к предыдущему году
в сопоставимых ценах</t>
  </si>
  <si>
    <t>Обеспечение электрической энергией, газом и паром;
кондиционирование воздуха (раздел D)</t>
  </si>
  <si>
    <t>Добыча полезных ископаемых (раздел B)</t>
  </si>
  <si>
    <t>Обрабатывающие производства (раздел C)</t>
  </si>
  <si>
    <t>Водоснабжение; водоотведение, организация сбора и утилизации отходов, деятельность по ликвидации загрязнений (раздел E)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</si>
  <si>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</si>
  <si>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</si>
  <si>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</si>
  <si>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</si>
  <si>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</si>
  <si>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</si>
  <si>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</si>
  <si>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</si>
  <si>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</si>
  <si>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</si>
  <si>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</si>
  <si>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Строительство</t>
  </si>
  <si>
    <t>5.1</t>
  </si>
  <si>
    <t>5.2</t>
  </si>
  <si>
    <t>Индекс физического объема работ, выполненных по виду деятельности "Строительство"</t>
  </si>
  <si>
    <t>5.3</t>
  </si>
  <si>
    <t>Индекс-дефлятор по виду деятельности "Строительство"</t>
  </si>
  <si>
    <t>% г/г</t>
  </si>
  <si>
    <t>5.4</t>
  </si>
  <si>
    <t>Ввод в действие жилых домов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</si>
  <si>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</si>
  <si>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</si>
  <si>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</si>
  <si>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</si>
  <si>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</si>
  <si>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</si>
  <si>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6.3</t>
  </si>
  <si>
    <t>Оборот розничной торговли</t>
  </si>
  <si>
    <t>Индекс физического объема оборота розничной торговли</t>
  </si>
  <si>
    <t>Индекс-дефлятор оборота розничной торговли</t>
  </si>
  <si>
    <t>Объем платных услуг населению</t>
  </si>
  <si>
    <t>Индекс физического объема платных услуг населению</t>
  </si>
  <si>
    <t>Индекс-дефлятор объема платных услуг населению</t>
  </si>
  <si>
    <t>7.1</t>
  </si>
  <si>
    <t>7.2</t>
  </si>
  <si>
    <t>7.3</t>
  </si>
  <si>
    <t>7.4</t>
  </si>
  <si>
    <t>7.5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</si>
  <si>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</si>
  <si>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</si>
  <si>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</si>
  <si>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</si>
  <si>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</si>
  <si>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</si>
  <si>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</si>
  <si>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</si>
  <si>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</si>
  <si>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</si>
  <si>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</si>
  <si>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</si>
  <si>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</si>
  <si>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Индекс-дефлятор инвестиций в основной капитал</t>
  </si>
  <si>
    <t>9.4</t>
  </si>
  <si>
    <t>%</t>
  </si>
  <si>
    <t>9.5</t>
  </si>
  <si>
    <t>Собственные средства</t>
  </si>
  <si>
    <t>9.6</t>
  </si>
  <si>
    <t>Привлеченные средства, из них:</t>
  </si>
  <si>
    <t>кредиты банков, в том числе:</t>
  </si>
  <si>
    <t>заемные средства других организаций</t>
  </si>
  <si>
    <t>бюджетные средства, 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</si>
  <si>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</si>
  <si>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</si>
  <si>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</si>
  <si>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</si>
  <si>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10.1</t>
  </si>
  <si>
    <t>10.2</t>
  </si>
  <si>
    <t>Налоговые и неналоговые доходы, всего</t>
  </si>
  <si>
    <t>10.3</t>
  </si>
  <si>
    <t>10.4</t>
  </si>
  <si>
    <t>налог на прибыль организаций</t>
  </si>
  <si>
    <t>10.5</t>
  </si>
  <si>
    <t>налог на доходы физических лиц</t>
  </si>
  <si>
    <t>10.6</t>
  </si>
  <si>
    <t>налог на добычу полезных ископаемых</t>
  </si>
  <si>
    <t>10.7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</si>
  <si>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</si>
  <si>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</si>
  <si>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</si>
  <si>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</si>
  <si>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</si>
  <si>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</si>
  <si>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</si>
  <si>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Неналоговые доходы</t>
  </si>
  <si>
    <t>Безвозмездные поступления всего, в том числе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</si>
  <si>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</si>
  <si>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</si>
  <si>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</si>
  <si>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</si>
  <si>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</si>
  <si>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</si>
  <si>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</si>
  <si>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</si>
  <si>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</si>
  <si>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</si>
  <si>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</si>
  <si>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</si>
  <si>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Денежные доходы населения</t>
  </si>
  <si>
    <t>Реальные располагаемые денежные доходы населения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</si>
  <si>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</si>
  <si>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трудоспособного населения</t>
  </si>
  <si>
    <t>пенсионеров</t>
  </si>
  <si>
    <t>детей</t>
  </si>
  <si>
    <t>Труд и занятость</t>
  </si>
  <si>
    <t>Численность рабочей силы</t>
  </si>
  <si>
    <t>рублей</t>
  </si>
  <si>
    <t>Уровень зарегистрированной безработицы (на конец года)</t>
  </si>
  <si>
    <t>Численность безработных, зарегистрированных в государственных учреждениях службы занятости населения (на конец года)</t>
  </si>
  <si>
    <t>кредиты иностранных банков</t>
  </si>
  <si>
    <t>млн руб.</t>
  </si>
  <si>
    <t>млн рублей</t>
  </si>
  <si>
    <t>руб./мес.</t>
  </si>
  <si>
    <t>национальная безопасность и правоохранительная деятельность</t>
  </si>
  <si>
    <t>тыс. кв. м общей площади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</si>
  <si>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</si>
  <si>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Примечание:</t>
  </si>
  <si>
    <t>базовый</t>
  </si>
  <si>
    <t>тыс. человек</t>
  </si>
  <si>
    <t>иностранные трудовые мигранты</t>
  </si>
  <si>
    <t>ДЭР</t>
  </si>
  <si>
    <t>ДГиЗО</t>
  </si>
  <si>
    <t>ДФ</t>
  </si>
  <si>
    <t>Соц выплаты</t>
  </si>
  <si>
    <t>Численность населения с денежными доходами ниже прожиточного минимума</t>
  </si>
  <si>
    <t>человек</t>
  </si>
  <si>
    <t>Численность лиц, проживающих в семьях, получавших субсидии на оплату жилого помещения и коммунальных услуг (на конец отчетного периода)</t>
  </si>
  <si>
    <t>Объем предоставленных субсидий на оплату жилого помещения и коммунальных услуг</t>
  </si>
  <si>
    <t>млн.рублей</t>
  </si>
  <si>
    <t>вариант</t>
  </si>
  <si>
    <t>2022 год</t>
  </si>
  <si>
    <t>2023 год</t>
  </si>
  <si>
    <t>2024 год</t>
  </si>
  <si>
    <t>2025 год</t>
  </si>
  <si>
    <t>2026 год</t>
  </si>
  <si>
    <t>2027 год</t>
  </si>
  <si>
    <t>1</t>
  </si>
  <si>
    <t>2</t>
  </si>
  <si>
    <t>2.4</t>
  </si>
  <si>
    <t>2.5</t>
  </si>
  <si>
    <t>2.6</t>
  </si>
  <si>
    <t>2.7</t>
  </si>
  <si>
    <t>2.8</t>
  </si>
  <si>
    <t>2.9</t>
  </si>
  <si>
    <t>2.10</t>
  </si>
  <si>
    <t>3</t>
  </si>
  <si>
    <t>4</t>
  </si>
  <si>
    <t>5</t>
  </si>
  <si>
    <t>5.5</t>
  </si>
  <si>
    <t>5.6</t>
  </si>
  <si>
    <t>5.7</t>
  </si>
  <si>
    <t>5.8</t>
  </si>
  <si>
    <t>6</t>
  </si>
  <si>
    <t>7</t>
  </si>
  <si>
    <t>8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</si>
  <si>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</si>
  <si>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</si>
  <si>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</si>
  <si>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</si>
  <si>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</si>
  <si>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</si>
  <si>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</si>
  <si>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</si>
  <si>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</si>
  <si>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</si>
  <si>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8.4</t>
  </si>
  <si>
    <t>8.5</t>
  </si>
  <si>
    <t>8.6</t>
  </si>
  <si>
    <t>8.6.1</t>
  </si>
  <si>
    <t>8.6.2</t>
  </si>
  <si>
    <t>8.6.3</t>
  </si>
  <si>
    <t>8.6.4</t>
  </si>
  <si>
    <t>8.6.5</t>
  </si>
  <si>
    <t>8.6.6</t>
  </si>
  <si>
    <t>8.6.7</t>
  </si>
  <si>
    <t>8.6.8</t>
  </si>
  <si>
    <t>8.6.9</t>
  </si>
  <si>
    <t>8.6.10</t>
  </si>
  <si>
    <t>8.6.11</t>
  </si>
  <si>
    <t>8.6.12</t>
  </si>
  <si>
    <t>8.6.13</t>
  </si>
  <si>
    <t>8.7</t>
  </si>
  <si>
    <t>8.9</t>
  </si>
  <si>
    <t>9</t>
  </si>
  <si>
    <t>9.2.1</t>
  </si>
  <si>
    <t>9.2.2</t>
  </si>
  <si>
    <t>9.2.3</t>
  </si>
  <si>
    <t>10</t>
  </si>
  <si>
    <t>10.2.1</t>
  </si>
  <si>
    <t>10.2.2</t>
  </si>
  <si>
    <t>10.2.3</t>
  </si>
  <si>
    <t>10.2.3.1</t>
  </si>
  <si>
    <t>10.2.3.2</t>
  </si>
  <si>
    <t>Объем отгруженных товаров собственного производства, выполненных работ и услуг собственными силами (В+С+D+E)</t>
  </si>
  <si>
    <t>по видам экономической деятельности</t>
  </si>
  <si>
    <t>Индекс промышленного производства (В+С+D+E)</t>
  </si>
  <si>
    <t>Индекс промышленного производства (раздел В)</t>
  </si>
  <si>
    <t>Индекс промышленного производства (раздел C)</t>
  </si>
  <si>
    <t>Индекс промышленного производства (раздел D)</t>
  </si>
  <si>
    <t>Индекс промышленного производства (раздел Е)</t>
  </si>
  <si>
    <t>Объем работ, выполненных по виду деятельности "Строительство" (раздел F)</t>
  </si>
  <si>
    <t>7.5.1</t>
  </si>
  <si>
    <t>7.5.1.1</t>
  </si>
  <si>
    <t>7.5.2</t>
  </si>
  <si>
    <t>7.5.3</t>
  </si>
  <si>
    <t>7.5.3.1</t>
  </si>
  <si>
    <t>7.5.3.2</t>
  </si>
  <si>
    <t>7.5.3.3</t>
  </si>
  <si>
    <t>7.5.4</t>
  </si>
  <si>
    <t>Бюджет муниципального образования</t>
  </si>
  <si>
    <t>Доходы  бюджета муниципального образования</t>
  </si>
  <si>
    <t>Налоговые доходы бюджета муниципального образования всего, в том числе:</t>
  </si>
  <si>
    <t>Расходы  бюджета муниципального образования всего, в том числе по направлениям:</t>
  </si>
  <si>
    <t>Дефицит(-), профицит(+) бюджета муниципального образования, млн рублей</t>
  </si>
  <si>
    <t>Муниципальный долг муниципального образования</t>
  </si>
  <si>
    <t>№ п/п</t>
  </si>
  <si>
    <t>Номинальная начисленная среднемесячная заработная плата работников организаций (без субъектов малого предпринимательства)</t>
  </si>
  <si>
    <t>Темп роста номинальной начисленной среднемесячной заработной платы работников организаций (без субъектов малого предпринимательства)</t>
  </si>
  <si>
    <t>Реальная заработная плата работников организаций (без субъектов малого предпринимательства)</t>
  </si>
  <si>
    <t xml:space="preserve"> Миграционного прироста (убыли)</t>
  </si>
  <si>
    <t>*</t>
  </si>
  <si>
    <t>2,5р</t>
  </si>
  <si>
    <t>2,4р</t>
  </si>
  <si>
    <t>3р</t>
  </si>
  <si>
    <t>трудоспособное население в трудоспособном возрасте(оценка)</t>
  </si>
  <si>
    <t>пенсионеры старше трудоспособного возраста(оценка)</t>
  </si>
  <si>
    <t>численность лиц старше трудоспособного возраста и подростков, занятых в экономике, в том числе: (оценка)</t>
  </si>
  <si>
    <t>подростки моложе трудоспособного возраста (оценка)</t>
  </si>
  <si>
    <t>Численность трудовых ресурсов – всего, в том числе:(оценка)</t>
  </si>
  <si>
    <t xml:space="preserve">Утвержден  постановлением администрации Дальнереченского городского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</si>
  <si>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Показатели прогноза социально-экономического развития Дальнереченского городского округа  на 2025 год и  плановый период  до 2027 года</t>
  </si>
  <si>
    <t>2.11</t>
  </si>
  <si>
    <t xml:space="preserve">Прибыль </t>
  </si>
  <si>
    <t>10.8</t>
  </si>
  <si>
    <t xml:space="preserve">Фонд оплаты труда </t>
  </si>
  <si>
    <t>млн. рублей</t>
  </si>
  <si>
    <t>"23"10.2024 г.№1233-па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</si>
</sst>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i/>
      <sz val="6.5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left" vertical="center" indent="2"/>
    </xf>
    <xf numFmtId="0" fontId="7" fillId="0" borderId="2" xfId="0" applyFont="1" applyFill="1" applyBorder="1" applyAlignment="1">
      <alignment horizontal="left" vertical="center" wrapText="1" indent="1"/>
    </xf>
    <xf numFmtId="0" fontId="1" fillId="0" borderId="0" xfId="0" applyFont="1" applyFill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49" fontId="7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/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top" wrapText="1"/>
    </xf>
    <xf numFmtId="0" fontId="1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 applyFill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1"/>
  <sheetViews>
    <sheetView tabSelected="1" topLeftCell="B1" zoomScale="130" zoomScaleNormal="130" zoomScaleSheetLayoutView="200" workbookViewId="0">
      <pane xSplit="2" ySplit="10" topLeftCell="D128" activePane="bottomRight" state="frozen"/>
      <selection activeCell="B1" sqref="B1"/>
      <selection pane="topRight" activeCell="D1" sqref="D1"/>
      <selection pane="bottomLeft" activeCell="B11" sqref="B11"/>
      <selection pane="bottomRight" activeCell="J2" sqref="J2:M2"/>
    </sheetView>
  </sheetViews>
  <sheetFormatPr defaultRowHeight="12.75"/>
  <cols>
    <col min="1" max="1" width="0" style="36" hidden="1" customWidth="1"/>
    <col min="2" max="2" width="5.42578125" style="22" bestFit="1" customWidth="1"/>
    <col min="3" max="3" width="36" style="18" customWidth="1"/>
    <col min="4" max="4" width="18.85546875" style="18" customWidth="1"/>
    <col min="5" max="5" width="7.85546875" style="18" customWidth="1"/>
    <col min="6" max="6" width="8.28515625" style="18" customWidth="1"/>
    <col min="7" max="7" width="7.5703125" style="18" customWidth="1"/>
    <col min="8" max="8" width="9.42578125" style="18" customWidth="1"/>
    <col min="9" max="9" width="10" style="18" customWidth="1"/>
    <col min="10" max="10" width="9.7109375" style="18" customWidth="1"/>
    <col min="11" max="11" width="9" style="18" customWidth="1"/>
    <col min="12" max="12" width="9.7109375" style="18" customWidth="1"/>
    <col min="13" max="13" width="9.42578125" style="18" customWidth="1"/>
    <col min="14" max="16384" width="9.140625" style="18"/>
  </cols>
  <sheetData>
    <row r="1" spans="1:13" s="3" customFormat="1" ht="49.5" customHeight="1">
      <c r="A1" s="5"/>
      <c r="B1" s="20"/>
      <c r="J1" s="63" t="s">
        <v>269</v>
      </c>
      <c r="K1" s="64"/>
      <c r="L1" s="64"/>
      <c r="M1" s="64"/>
    </row>
    <row r="2" spans="1:13" ht="27" customHeight="1">
      <c r="J2" s="65" t="s">
        <v>276</v>
      </c>
      <c r="K2" s="65"/>
      <c r="L2" s="65"/>
      <c r="M2" s="65"/>
    </row>
    <row r="3" spans="1:13" s="6" customFormat="1" ht="15" customHeight="1">
      <c r="A3" s="5"/>
      <c r="B3" s="21"/>
      <c r="C3" s="5"/>
      <c r="D3" s="5"/>
      <c r="E3" s="5"/>
      <c r="F3" s="5"/>
      <c r="G3" s="5"/>
      <c r="H3" s="5"/>
      <c r="I3" s="5"/>
      <c r="J3" s="49"/>
      <c r="K3" s="49"/>
      <c r="L3" s="49"/>
      <c r="M3" s="49"/>
    </row>
    <row r="4" spans="1:13" s="4" customFormat="1" ht="46.5" customHeight="1">
      <c r="A4" s="33"/>
      <c r="B4" s="52" t="s">
        <v>270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s="3" customFormat="1" ht="12.75" customHeight="1">
      <c r="A5" s="5"/>
      <c r="B5" s="20"/>
    </row>
    <row r="6" spans="1:13" s="2" customFormat="1" ht="21" customHeight="1">
      <c r="A6" s="34"/>
      <c r="B6" s="60" t="s">
        <v>255</v>
      </c>
      <c r="C6" s="57" t="s">
        <v>0</v>
      </c>
      <c r="D6" s="57" t="s">
        <v>1</v>
      </c>
      <c r="E6" s="55" t="s">
        <v>2</v>
      </c>
      <c r="F6" s="56"/>
      <c r="G6" s="9" t="s">
        <v>3</v>
      </c>
      <c r="H6" s="53" t="s">
        <v>5</v>
      </c>
      <c r="I6" s="53"/>
      <c r="J6" s="53"/>
      <c r="K6" s="53"/>
      <c r="L6" s="53"/>
      <c r="M6" s="53"/>
    </row>
    <row r="7" spans="1:13" s="2" customFormat="1" ht="10.5">
      <c r="A7" s="34"/>
      <c r="B7" s="61"/>
      <c r="C7" s="58"/>
      <c r="D7" s="58"/>
      <c r="E7" s="53" t="s">
        <v>170</v>
      </c>
      <c r="F7" s="53" t="s">
        <v>171</v>
      </c>
      <c r="G7" s="53" t="s">
        <v>172</v>
      </c>
      <c r="H7" s="53" t="s">
        <v>173</v>
      </c>
      <c r="I7" s="53"/>
      <c r="J7" s="53" t="s">
        <v>174</v>
      </c>
      <c r="K7" s="53"/>
      <c r="L7" s="53" t="s">
        <v>175</v>
      </c>
      <c r="M7" s="53"/>
    </row>
    <row r="8" spans="1:13" s="2" customFormat="1" ht="12" customHeight="1">
      <c r="A8" s="34"/>
      <c r="B8" s="61"/>
      <c r="C8" s="58"/>
      <c r="D8" s="58"/>
      <c r="E8" s="54"/>
      <c r="F8" s="54"/>
      <c r="G8" s="54"/>
      <c r="H8" s="55" t="s">
        <v>169</v>
      </c>
      <c r="I8" s="56"/>
      <c r="J8" s="55" t="s">
        <v>169</v>
      </c>
      <c r="K8" s="56"/>
      <c r="L8" s="55" t="s">
        <v>169</v>
      </c>
      <c r="M8" s="56"/>
    </row>
    <row r="9" spans="1:13" s="2" customFormat="1" ht="12" customHeight="1">
      <c r="A9" s="34"/>
      <c r="B9" s="62"/>
      <c r="C9" s="59"/>
      <c r="D9" s="59"/>
      <c r="E9" s="54"/>
      <c r="F9" s="54"/>
      <c r="G9" s="54"/>
      <c r="H9" s="8" t="s">
        <v>4</v>
      </c>
      <c r="I9" s="8" t="s">
        <v>157</v>
      </c>
      <c r="J9" s="8" t="s">
        <v>4</v>
      </c>
      <c r="K9" s="8" t="s">
        <v>157</v>
      </c>
      <c r="L9" s="8" t="s">
        <v>4</v>
      </c>
      <c r="M9" s="8" t="s">
        <v>157</v>
      </c>
    </row>
    <row r="10" spans="1:13" s="2" customFormat="1" ht="10.5">
      <c r="A10" s="34"/>
      <c r="B10" s="26" t="s">
        <v>176</v>
      </c>
      <c r="C10" s="27" t="s">
        <v>6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1:13" s="2" customFormat="1" ht="10.5">
      <c r="A11" s="51" t="s">
        <v>160</v>
      </c>
      <c r="B11" s="19" t="s">
        <v>7</v>
      </c>
      <c r="C11" s="10" t="s">
        <v>8</v>
      </c>
      <c r="D11" s="8" t="s">
        <v>31</v>
      </c>
      <c r="E11" s="8">
        <v>25.085999999999999</v>
      </c>
      <c r="F11" s="45">
        <v>24.728000000000002</v>
      </c>
      <c r="G11" s="8">
        <v>24.449000000000002</v>
      </c>
      <c r="H11" s="45">
        <f>G11*98.5/100</f>
        <v>24.082265000000003</v>
      </c>
      <c r="I11" s="45">
        <f>G11*98.7/100</f>
        <v>24.131163000000001</v>
      </c>
      <c r="J11" s="45">
        <f>H11*98.6/100</f>
        <v>23.745113290000003</v>
      </c>
      <c r="K11" s="45">
        <f>I11*98.8/100</f>
        <v>23.841589044000003</v>
      </c>
      <c r="L11" s="45">
        <f>J11*98.6/100</f>
        <v>23.412681703940002</v>
      </c>
      <c r="M11" s="45">
        <f>K11*98.8/100</f>
        <v>23.555489975472</v>
      </c>
    </row>
    <row r="12" spans="1:13" s="2" customFormat="1" ht="10.5">
      <c r="A12" s="51"/>
      <c r="B12" s="19" t="s">
        <v>9</v>
      </c>
      <c r="C12" s="10" t="s">
        <v>10</v>
      </c>
      <c r="D12" s="8" t="s">
        <v>31</v>
      </c>
      <c r="E12" s="8">
        <v>25.282</v>
      </c>
      <c r="F12" s="8">
        <v>24.890999999999998</v>
      </c>
      <c r="G12" s="45">
        <v>24.564</v>
      </c>
      <c r="H12" s="45">
        <f>G12*98.5/100</f>
        <v>24.195540000000001</v>
      </c>
      <c r="I12" s="45">
        <f>G12*98.7/100</f>
        <v>24.244668000000001</v>
      </c>
      <c r="J12" s="45">
        <f>H12*98.6/100</f>
        <v>23.856802440000003</v>
      </c>
      <c r="K12" s="45">
        <f>I12*98.7/100</f>
        <v>23.929487315999999</v>
      </c>
      <c r="L12" s="45">
        <f>J12*98.6/100</f>
        <v>23.52280720584</v>
      </c>
      <c r="M12" s="45">
        <f>K12*98.8/100</f>
        <v>23.642333468207998</v>
      </c>
    </row>
    <row r="13" spans="1:13" s="12" customFormat="1" ht="21">
      <c r="A13" s="51"/>
      <c r="B13" s="19" t="s">
        <v>11</v>
      </c>
      <c r="C13" s="11" t="s">
        <v>29</v>
      </c>
      <c r="D13" s="8" t="s">
        <v>31</v>
      </c>
      <c r="E13" s="8">
        <v>14.151</v>
      </c>
      <c r="F13" s="47">
        <v>13.821999999999999</v>
      </c>
      <c r="G13" s="47">
        <v>13.923</v>
      </c>
      <c r="H13" s="45">
        <f>G13*98.5/100</f>
        <v>13.714155</v>
      </c>
      <c r="I13" s="45">
        <f>G13*98.7/100</f>
        <v>13.742001</v>
      </c>
      <c r="J13" s="45">
        <f>H13*98.6/100</f>
        <v>13.522156829999998</v>
      </c>
      <c r="K13" s="45">
        <f>I13*98.8/100</f>
        <v>13.577096988000001</v>
      </c>
      <c r="L13" s="45">
        <f>J13*98.6/100</f>
        <v>13.332846634379997</v>
      </c>
      <c r="M13" s="45">
        <f>K13*98.8/100</f>
        <v>13.414171824144001</v>
      </c>
    </row>
    <row r="14" spans="1:13" s="2" customFormat="1" ht="21">
      <c r="A14" s="51"/>
      <c r="B14" s="19" t="s">
        <v>12</v>
      </c>
      <c r="C14" s="11" t="s">
        <v>33</v>
      </c>
      <c r="D14" s="8" t="s">
        <v>31</v>
      </c>
      <c r="E14" s="8">
        <v>6.4180000000000001</v>
      </c>
      <c r="F14" s="47">
        <v>6.4720000000000004</v>
      </c>
      <c r="G14" s="47">
        <v>6.2190000000000003</v>
      </c>
      <c r="H14" s="45">
        <f>G14*98.4/100</f>
        <v>6.1194960000000007</v>
      </c>
      <c r="I14" s="45">
        <f>G14*98.6/100</f>
        <v>6.1319340000000002</v>
      </c>
      <c r="J14" s="45">
        <f>H14*98.7/100</f>
        <v>6.0399425520000012</v>
      </c>
      <c r="K14" s="45">
        <f>I14*98.6/100</f>
        <v>6.0460869239999999</v>
      </c>
      <c r="L14" s="45">
        <f>J14*98.6/100</f>
        <v>5.9553833562720015</v>
      </c>
      <c r="M14" s="45">
        <f>K14*98.9/100</f>
        <v>5.979579967836</v>
      </c>
    </row>
    <row r="15" spans="1:13" s="2" customFormat="1" ht="21">
      <c r="A15" s="51"/>
      <c r="B15" s="19" t="s">
        <v>13</v>
      </c>
      <c r="C15" s="10" t="s">
        <v>15</v>
      </c>
      <c r="D15" s="9" t="s">
        <v>32</v>
      </c>
      <c r="E15" s="8">
        <v>8.17</v>
      </c>
      <c r="F15" s="8">
        <v>8.98</v>
      </c>
      <c r="G15" s="8">
        <v>7.85</v>
      </c>
      <c r="H15" s="45">
        <f>G15*100.2/100</f>
        <v>7.8656999999999995</v>
      </c>
      <c r="I15" s="45">
        <f>G15*101.8/100</f>
        <v>7.9912999999999998</v>
      </c>
      <c r="J15" s="45">
        <f>H15*100.5/100</f>
        <v>7.9050284999999993</v>
      </c>
      <c r="K15" s="45">
        <f>I15*102/100</f>
        <v>8.1511259999999996</v>
      </c>
      <c r="L15" s="45">
        <f>J15*100.8/100</f>
        <v>7.9682687279999991</v>
      </c>
      <c r="M15" s="45">
        <f>K15*101.2/100</f>
        <v>8.2489395119999998</v>
      </c>
    </row>
    <row r="16" spans="1:13" s="2" customFormat="1" ht="21">
      <c r="A16" s="51"/>
      <c r="B16" s="19" t="s">
        <v>14</v>
      </c>
      <c r="C16" s="10" t="s">
        <v>18</v>
      </c>
      <c r="D16" s="9" t="s">
        <v>34</v>
      </c>
      <c r="E16" s="8">
        <v>17.18</v>
      </c>
      <c r="F16" s="8">
        <v>16.579999999999998</v>
      </c>
      <c r="G16" s="8">
        <v>15.54</v>
      </c>
      <c r="H16" s="46">
        <f>G16*100.1/100</f>
        <v>15.555539999999999</v>
      </c>
      <c r="I16" s="46">
        <f>G16*99.5/100</f>
        <v>15.462300000000001</v>
      </c>
      <c r="J16" s="46">
        <f>H16*99.1/100</f>
        <v>15.415540139999997</v>
      </c>
      <c r="K16" s="46">
        <f>I16*99.2/100</f>
        <v>15.338601600000002</v>
      </c>
      <c r="L16" s="46">
        <f>J16*99/100</f>
        <v>15.261384738599997</v>
      </c>
      <c r="M16" s="46">
        <f>K16*99.2/100</f>
        <v>15.215892787200003</v>
      </c>
    </row>
    <row r="17" spans="1:13" s="2" customFormat="1" ht="10.5">
      <c r="A17" s="51"/>
      <c r="B17" s="19" t="s">
        <v>16</v>
      </c>
      <c r="C17" s="10" t="s">
        <v>19</v>
      </c>
      <c r="D17" s="8" t="s">
        <v>35</v>
      </c>
      <c r="E17" s="8">
        <v>-9.01</v>
      </c>
      <c r="F17" s="8">
        <v>-7.6</v>
      </c>
      <c r="G17" s="8">
        <v>-7.69</v>
      </c>
      <c r="H17" s="46">
        <f>H15-H16</f>
        <v>-7.6898399999999993</v>
      </c>
      <c r="I17" s="46">
        <f>I15-I16</f>
        <v>-7.471000000000001</v>
      </c>
      <c r="J17" s="46">
        <f t="shared" ref="J17:L17" si="0">J15-J16</f>
        <v>-7.510511639999998</v>
      </c>
      <c r="K17" s="46">
        <f t="shared" si="0"/>
        <v>-7.1874756000000026</v>
      </c>
      <c r="L17" s="46">
        <f t="shared" si="0"/>
        <v>-7.2931160105999977</v>
      </c>
      <c r="M17" s="46">
        <f>M15-M16</f>
        <v>-6.9669532752000034</v>
      </c>
    </row>
    <row r="18" spans="1:13" s="2" customFormat="1" ht="12" customHeight="1">
      <c r="A18" s="51"/>
      <c r="B18" s="19" t="s">
        <v>17</v>
      </c>
      <c r="C18" s="10" t="s">
        <v>259</v>
      </c>
      <c r="D18" s="8" t="s">
        <v>35</v>
      </c>
      <c r="E18" s="8">
        <v>-0.16500000000000001</v>
      </c>
      <c r="F18" s="8">
        <v>-0.124</v>
      </c>
      <c r="G18" s="8">
        <v>-0.13500000000000001</v>
      </c>
      <c r="H18" s="45">
        <f>G18*102.1/100</f>
        <v>-0.13783500000000001</v>
      </c>
      <c r="I18" s="45">
        <f>G18*96.7/100</f>
        <v>-0.13054500000000002</v>
      </c>
      <c r="J18" s="45">
        <f>H18*98.7/100</f>
        <v>-0.136043145</v>
      </c>
      <c r="K18" s="45">
        <f>I18*93.3/100</f>
        <v>-0.12179848500000003</v>
      </c>
      <c r="L18" s="45">
        <f>J18*98.7/100</f>
        <v>-0.13427458411500001</v>
      </c>
      <c r="M18" s="45">
        <f>K18*96.4/100</f>
        <v>-0.11741373954000003</v>
      </c>
    </row>
    <row r="19" spans="1:13" s="2" customFormat="1" ht="10.5">
      <c r="A19" s="34"/>
      <c r="B19" s="26" t="s">
        <v>177</v>
      </c>
      <c r="C19" s="27" t="s">
        <v>23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2" customFormat="1" ht="31.5">
      <c r="A20" s="51" t="s">
        <v>160</v>
      </c>
      <c r="B20" s="19" t="s">
        <v>20</v>
      </c>
      <c r="C20" s="11" t="s">
        <v>233</v>
      </c>
      <c r="D20" s="8" t="s">
        <v>150</v>
      </c>
      <c r="E20" s="42">
        <v>926.7</v>
      </c>
      <c r="F20" s="42">
        <v>797</v>
      </c>
      <c r="G20" s="42">
        <f>F20*G21/100</f>
        <v>868.73</v>
      </c>
      <c r="H20" s="42">
        <f t="shared" ref="H20:M20" si="1">F20*H21/100</f>
        <v>840.83500000000004</v>
      </c>
      <c r="I20" s="42">
        <f t="shared" si="1"/>
        <v>888.71078999999997</v>
      </c>
      <c r="J20" s="42">
        <f t="shared" si="1"/>
        <v>860.17420500000003</v>
      </c>
      <c r="K20" s="42">
        <f t="shared" si="1"/>
        <v>926.03664317999994</v>
      </c>
      <c r="L20" s="42">
        <f t="shared" si="1"/>
        <v>883.39890853500003</v>
      </c>
      <c r="M20" s="42">
        <f t="shared" si="1"/>
        <v>964.93018219356009</v>
      </c>
    </row>
    <row r="21" spans="1:13" s="2" customFormat="1" ht="21">
      <c r="A21" s="51"/>
      <c r="B21" s="19" t="s">
        <v>21</v>
      </c>
      <c r="C21" s="10" t="s">
        <v>235</v>
      </c>
      <c r="D21" s="9" t="s">
        <v>36</v>
      </c>
      <c r="E21" s="42">
        <v>120.3</v>
      </c>
      <c r="F21" s="42">
        <v>116.3</v>
      </c>
      <c r="G21" s="42">
        <v>109</v>
      </c>
      <c r="H21" s="42">
        <v>105.5</v>
      </c>
      <c r="I21" s="42">
        <v>102.3</v>
      </c>
      <c r="J21" s="42">
        <v>102.3</v>
      </c>
      <c r="K21" s="42">
        <v>104.2</v>
      </c>
      <c r="L21" s="42">
        <v>102.7</v>
      </c>
      <c r="M21" s="42">
        <v>104.2</v>
      </c>
    </row>
    <row r="22" spans="1:13" s="2" customFormat="1" ht="10.5" customHeight="1">
      <c r="A22" s="51"/>
      <c r="B22" s="19"/>
      <c r="C22" s="41" t="s">
        <v>234</v>
      </c>
      <c r="D22" s="8"/>
      <c r="E22" s="42"/>
      <c r="F22" s="42"/>
      <c r="G22" s="42"/>
      <c r="H22" s="42"/>
      <c r="I22" s="42"/>
      <c r="J22" s="42"/>
      <c r="K22" s="42"/>
      <c r="L22" s="42"/>
      <c r="M22" s="42"/>
    </row>
    <row r="23" spans="1:13" s="2" customFormat="1" ht="10.5">
      <c r="A23" s="51"/>
      <c r="B23" s="19" t="s">
        <v>22</v>
      </c>
      <c r="C23" s="14" t="s">
        <v>38</v>
      </c>
      <c r="D23" s="9" t="s">
        <v>150</v>
      </c>
      <c r="E23" s="42" t="s">
        <v>260</v>
      </c>
      <c r="F23" s="42" t="s">
        <v>260</v>
      </c>
      <c r="G23" s="42" t="s">
        <v>260</v>
      </c>
      <c r="H23" s="42" t="s">
        <v>260</v>
      </c>
      <c r="I23" s="42" t="s">
        <v>260</v>
      </c>
      <c r="J23" s="42" t="s">
        <v>260</v>
      </c>
      <c r="K23" s="42" t="s">
        <v>260</v>
      </c>
      <c r="L23" s="42" t="s">
        <v>260</v>
      </c>
      <c r="M23" s="42" t="s">
        <v>260</v>
      </c>
    </row>
    <row r="24" spans="1:13" s="2" customFormat="1" ht="21">
      <c r="A24" s="51"/>
      <c r="B24" s="19" t="s">
        <v>178</v>
      </c>
      <c r="C24" s="14" t="s">
        <v>236</v>
      </c>
      <c r="D24" s="9" t="s">
        <v>36</v>
      </c>
      <c r="E24" s="42" t="s">
        <v>260</v>
      </c>
      <c r="F24" s="42" t="s">
        <v>260</v>
      </c>
      <c r="G24" s="42" t="s">
        <v>260</v>
      </c>
      <c r="H24" s="42" t="s">
        <v>260</v>
      </c>
      <c r="I24" s="42" t="s">
        <v>260</v>
      </c>
      <c r="J24" s="42" t="s">
        <v>260</v>
      </c>
      <c r="K24" s="42" t="s">
        <v>260</v>
      </c>
      <c r="L24" s="42" t="s">
        <v>260</v>
      </c>
      <c r="M24" s="42" t="s">
        <v>260</v>
      </c>
    </row>
    <row r="25" spans="1:13" s="2" customFormat="1" ht="10.5">
      <c r="A25" s="51"/>
      <c r="B25" s="19" t="s">
        <v>179</v>
      </c>
      <c r="C25" s="14" t="s">
        <v>39</v>
      </c>
      <c r="D25" s="9" t="s">
        <v>150</v>
      </c>
      <c r="E25" s="42">
        <v>609.79999999999995</v>
      </c>
      <c r="F25" s="42">
        <v>506.5</v>
      </c>
      <c r="G25" s="42">
        <f>F25*G26/100</f>
        <v>552.08500000000004</v>
      </c>
      <c r="H25" s="42">
        <f>G25*H26/100</f>
        <v>582.44967500000007</v>
      </c>
      <c r="I25" s="42">
        <f>G25*I26/100</f>
        <v>564.78295500000002</v>
      </c>
      <c r="J25" s="42">
        <f>H25*J26/100</f>
        <v>595.84601752500009</v>
      </c>
      <c r="K25" s="42">
        <f>I25*K26/100</f>
        <v>588.50383911000006</v>
      </c>
      <c r="L25" s="42">
        <f>J25*L26/100</f>
        <v>611.93385999817508</v>
      </c>
      <c r="M25" s="42">
        <f>K25*M26/100</f>
        <v>613.22100035262008</v>
      </c>
    </row>
    <row r="26" spans="1:13" s="2" customFormat="1" ht="21">
      <c r="A26" s="51"/>
      <c r="B26" s="19" t="s">
        <v>180</v>
      </c>
      <c r="C26" s="14" t="s">
        <v>237</v>
      </c>
      <c r="D26" s="9" t="s">
        <v>36</v>
      </c>
      <c r="E26" s="42">
        <v>120.3</v>
      </c>
      <c r="F26" s="42">
        <v>120.4</v>
      </c>
      <c r="G26" s="42">
        <v>109</v>
      </c>
      <c r="H26" s="42">
        <v>105.5</v>
      </c>
      <c r="I26" s="42">
        <v>102.3</v>
      </c>
      <c r="J26" s="42">
        <v>102.3</v>
      </c>
      <c r="K26" s="42">
        <v>104.2</v>
      </c>
      <c r="L26" s="42">
        <v>102.7</v>
      </c>
      <c r="M26" s="42">
        <v>104.2</v>
      </c>
    </row>
    <row r="27" spans="1:13" s="2" customFormat="1" ht="18">
      <c r="A27" s="51"/>
      <c r="B27" s="19" t="s">
        <v>181</v>
      </c>
      <c r="C27" s="13" t="s">
        <v>37</v>
      </c>
      <c r="D27" s="9" t="s">
        <v>150</v>
      </c>
      <c r="E27" s="42" t="s">
        <v>260</v>
      </c>
      <c r="F27" s="42" t="s">
        <v>260</v>
      </c>
      <c r="G27" s="42" t="s">
        <v>260</v>
      </c>
      <c r="H27" s="42" t="s">
        <v>260</v>
      </c>
      <c r="I27" s="42" t="s">
        <v>260</v>
      </c>
      <c r="J27" s="42" t="s">
        <v>260</v>
      </c>
      <c r="K27" s="42" t="s">
        <v>260</v>
      </c>
      <c r="L27" s="42" t="s">
        <v>260</v>
      </c>
      <c r="M27" s="42" t="s">
        <v>260</v>
      </c>
    </row>
    <row r="28" spans="1:13" s="2" customFormat="1" ht="21">
      <c r="A28" s="51"/>
      <c r="B28" s="19" t="s">
        <v>182</v>
      </c>
      <c r="C28" s="13" t="s">
        <v>238</v>
      </c>
      <c r="D28" s="9" t="s">
        <v>36</v>
      </c>
      <c r="E28" s="42" t="s">
        <v>260</v>
      </c>
      <c r="F28" s="42" t="s">
        <v>260</v>
      </c>
      <c r="G28" s="42" t="s">
        <v>260</v>
      </c>
      <c r="H28" s="42" t="s">
        <v>260</v>
      </c>
      <c r="I28" s="42" t="s">
        <v>260</v>
      </c>
      <c r="J28" s="42" t="s">
        <v>260</v>
      </c>
      <c r="K28" s="42" t="s">
        <v>260</v>
      </c>
      <c r="L28" s="42" t="s">
        <v>260</v>
      </c>
      <c r="M28" s="42" t="s">
        <v>260</v>
      </c>
    </row>
    <row r="29" spans="1:13" s="2" customFormat="1" ht="27">
      <c r="A29" s="51"/>
      <c r="B29" s="19" t="s">
        <v>183</v>
      </c>
      <c r="C29" s="13" t="s">
        <v>40</v>
      </c>
      <c r="D29" s="9" t="s">
        <v>150</v>
      </c>
      <c r="E29" s="42" t="s">
        <v>260</v>
      </c>
      <c r="F29" s="42" t="s">
        <v>260</v>
      </c>
      <c r="G29" s="42" t="s">
        <v>260</v>
      </c>
      <c r="H29" s="42" t="s">
        <v>260</v>
      </c>
      <c r="I29" s="42" t="s">
        <v>260</v>
      </c>
      <c r="J29" s="42" t="s">
        <v>260</v>
      </c>
      <c r="K29" s="42" t="s">
        <v>260</v>
      </c>
      <c r="L29" s="42" t="s">
        <v>260</v>
      </c>
      <c r="M29" s="42" t="s">
        <v>260</v>
      </c>
    </row>
    <row r="30" spans="1:13" s="2" customFormat="1" ht="21">
      <c r="A30" s="40"/>
      <c r="B30" s="19" t="s">
        <v>184</v>
      </c>
      <c r="C30" s="13" t="s">
        <v>239</v>
      </c>
      <c r="D30" s="9" t="s">
        <v>36</v>
      </c>
      <c r="E30" s="42" t="s">
        <v>260</v>
      </c>
      <c r="F30" s="42" t="s">
        <v>260</v>
      </c>
      <c r="G30" s="42" t="s">
        <v>260</v>
      </c>
      <c r="H30" s="42" t="s">
        <v>260</v>
      </c>
      <c r="I30" s="42" t="s">
        <v>260</v>
      </c>
      <c r="J30" s="42" t="s">
        <v>260</v>
      </c>
      <c r="K30" s="42" t="s">
        <v>260</v>
      </c>
      <c r="L30" s="42" t="s">
        <v>260</v>
      </c>
      <c r="M30" s="42" t="s">
        <v>260</v>
      </c>
    </row>
    <row r="31" spans="1:13" s="2" customFormat="1" ht="10.5">
      <c r="A31" s="40"/>
      <c r="B31" s="19" t="s">
        <v>271</v>
      </c>
      <c r="C31" s="11" t="s">
        <v>272</v>
      </c>
      <c r="D31" s="9" t="s">
        <v>168</v>
      </c>
      <c r="E31" s="42" t="s">
        <v>260</v>
      </c>
      <c r="F31" s="42" t="s">
        <v>260</v>
      </c>
      <c r="G31" s="42" t="s">
        <v>260</v>
      </c>
      <c r="H31" s="42" t="s">
        <v>260</v>
      </c>
      <c r="I31" s="42" t="s">
        <v>260</v>
      </c>
      <c r="J31" s="42" t="s">
        <v>260</v>
      </c>
      <c r="K31" s="42" t="s">
        <v>260</v>
      </c>
      <c r="L31" s="42" t="s">
        <v>260</v>
      </c>
      <c r="M31" s="42" t="s">
        <v>260</v>
      </c>
    </row>
    <row r="32" spans="1:13" s="2" customFormat="1" ht="10.5">
      <c r="A32" s="34"/>
      <c r="B32" s="26" t="s">
        <v>185</v>
      </c>
      <c r="C32" s="27" t="s">
        <v>41</v>
      </c>
      <c r="D32" s="29"/>
      <c r="E32" s="28"/>
      <c r="F32" s="28"/>
      <c r="G32" s="28"/>
      <c r="H32" s="28"/>
      <c r="I32" s="28"/>
      <c r="J32" s="28"/>
      <c r="K32" s="28"/>
      <c r="L32" s="28"/>
      <c r="M32" s="28"/>
    </row>
    <row r="33" spans="1:13" s="2" customFormat="1" ht="10.5">
      <c r="A33" s="51" t="s">
        <v>160</v>
      </c>
      <c r="B33" s="19" t="s">
        <v>24</v>
      </c>
      <c r="C33" s="10" t="s">
        <v>43</v>
      </c>
      <c r="D33" s="8" t="s">
        <v>150</v>
      </c>
      <c r="E33" s="42">
        <v>292.2</v>
      </c>
      <c r="F33" s="42">
        <f>E33*F34/100</f>
        <v>354.14639999999997</v>
      </c>
      <c r="G33" s="42">
        <f>F33*G34/100</f>
        <v>287.92102319999998</v>
      </c>
      <c r="H33" s="42">
        <f>G33*H34/100</f>
        <v>290.80023343199997</v>
      </c>
      <c r="I33" s="42">
        <f>G33*I34/100</f>
        <v>293.10360161759996</v>
      </c>
      <c r="J33" s="42">
        <f>H33*J34/100</f>
        <v>296.90703833407196</v>
      </c>
      <c r="K33" s="42">
        <f>I33*K34/100</f>
        <v>300.72429525965754</v>
      </c>
      <c r="L33" s="42">
        <f>J33*L34/100</f>
        <v>305.22043540742595</v>
      </c>
      <c r="M33" s="42">
        <f>M34*K33/100</f>
        <v>309.74602411744729</v>
      </c>
    </row>
    <row r="34" spans="1:13" s="2" customFormat="1" ht="21">
      <c r="A34" s="51"/>
      <c r="B34" s="19" t="s">
        <v>25</v>
      </c>
      <c r="C34" s="10" t="s">
        <v>45</v>
      </c>
      <c r="D34" s="9" t="s">
        <v>36</v>
      </c>
      <c r="E34" s="42">
        <v>137.69999999999999</v>
      </c>
      <c r="F34" s="42">
        <v>121.2</v>
      </c>
      <c r="G34" s="42">
        <v>81.3</v>
      </c>
      <c r="H34" s="42">
        <v>101</v>
      </c>
      <c r="I34" s="42">
        <v>101.8</v>
      </c>
      <c r="J34" s="42">
        <v>102.1</v>
      </c>
      <c r="K34" s="42">
        <v>102.6</v>
      </c>
      <c r="L34" s="42">
        <v>102.8</v>
      </c>
      <c r="M34" s="42">
        <v>103</v>
      </c>
    </row>
    <row r="35" spans="1:13" s="2" customFormat="1" ht="10.5">
      <c r="A35" s="51"/>
      <c r="B35" s="19" t="s">
        <v>26</v>
      </c>
      <c r="C35" s="10" t="s">
        <v>47</v>
      </c>
      <c r="D35" s="8" t="s">
        <v>150</v>
      </c>
      <c r="E35" s="42" t="s">
        <v>260</v>
      </c>
      <c r="F35" s="42" t="s">
        <v>260</v>
      </c>
      <c r="G35" s="42" t="s">
        <v>260</v>
      </c>
      <c r="H35" s="42" t="s">
        <v>260</v>
      </c>
      <c r="I35" s="42" t="s">
        <v>260</v>
      </c>
      <c r="J35" s="42" t="s">
        <v>260</v>
      </c>
      <c r="K35" s="42" t="s">
        <v>260</v>
      </c>
      <c r="L35" s="42" t="s">
        <v>260</v>
      </c>
      <c r="M35" s="42" t="s">
        <v>260</v>
      </c>
    </row>
    <row r="36" spans="1:13" s="2" customFormat="1" ht="21">
      <c r="A36" s="51"/>
      <c r="B36" s="19" t="s">
        <v>27</v>
      </c>
      <c r="C36" s="10" t="s">
        <v>49</v>
      </c>
      <c r="D36" s="9" t="s">
        <v>36</v>
      </c>
      <c r="E36" s="42" t="s">
        <v>260</v>
      </c>
      <c r="F36" s="42" t="s">
        <v>260</v>
      </c>
      <c r="G36" s="42" t="s">
        <v>260</v>
      </c>
      <c r="H36" s="42" t="s">
        <v>260</v>
      </c>
      <c r="I36" s="42" t="s">
        <v>260</v>
      </c>
      <c r="J36" s="42" t="s">
        <v>260</v>
      </c>
      <c r="K36" s="42" t="s">
        <v>260</v>
      </c>
      <c r="L36" s="42" t="s">
        <v>260</v>
      </c>
      <c r="M36" s="42" t="s">
        <v>260</v>
      </c>
    </row>
    <row r="37" spans="1:13" s="2" customFormat="1" ht="10.5">
      <c r="A37" s="51"/>
      <c r="B37" s="19" t="s">
        <v>28</v>
      </c>
      <c r="C37" s="10" t="s">
        <v>50</v>
      </c>
      <c r="D37" s="8" t="s">
        <v>150</v>
      </c>
      <c r="E37" s="42" t="s">
        <v>260</v>
      </c>
      <c r="F37" s="42" t="s">
        <v>260</v>
      </c>
      <c r="G37" s="42" t="s">
        <v>260</v>
      </c>
      <c r="H37" s="42" t="s">
        <v>260</v>
      </c>
      <c r="I37" s="42" t="s">
        <v>260</v>
      </c>
      <c r="J37" s="42" t="s">
        <v>260</v>
      </c>
      <c r="K37" s="42" t="s">
        <v>260</v>
      </c>
      <c r="L37" s="42" t="s">
        <v>260</v>
      </c>
      <c r="M37" s="42" t="s">
        <v>260</v>
      </c>
    </row>
    <row r="38" spans="1:13" s="2" customFormat="1" ht="21">
      <c r="A38" s="51"/>
      <c r="B38" s="19" t="s">
        <v>30</v>
      </c>
      <c r="C38" s="10" t="s">
        <v>51</v>
      </c>
      <c r="D38" s="9" t="s">
        <v>36</v>
      </c>
      <c r="E38" s="42" t="s">
        <v>260</v>
      </c>
      <c r="F38" s="42" t="s">
        <v>260</v>
      </c>
      <c r="G38" s="42" t="s">
        <v>260</v>
      </c>
      <c r="H38" s="42" t="s">
        <v>260</v>
      </c>
      <c r="I38" s="42" t="s">
        <v>260</v>
      </c>
      <c r="J38" s="42" t="s">
        <v>260</v>
      </c>
      <c r="K38" s="42" t="s">
        <v>260</v>
      </c>
      <c r="L38" s="42" t="s">
        <v>260</v>
      </c>
      <c r="M38" s="42" t="s">
        <v>260</v>
      </c>
    </row>
    <row r="39" spans="1:13" s="2" customFormat="1" ht="10.5">
      <c r="A39" s="34"/>
      <c r="B39" s="26" t="s">
        <v>186</v>
      </c>
      <c r="C39" s="27" t="s">
        <v>52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</row>
    <row r="40" spans="1:13" s="2" customFormat="1" ht="21" customHeight="1">
      <c r="A40" s="51" t="s">
        <v>160</v>
      </c>
      <c r="B40" s="19" t="s">
        <v>42</v>
      </c>
      <c r="C40" s="11" t="s">
        <v>240</v>
      </c>
      <c r="D40" s="9" t="s">
        <v>150</v>
      </c>
      <c r="E40" s="42" t="s">
        <v>260</v>
      </c>
      <c r="F40" s="42" t="s">
        <v>260</v>
      </c>
      <c r="G40" s="42" t="s">
        <v>260</v>
      </c>
      <c r="H40" s="42" t="s">
        <v>260</v>
      </c>
      <c r="I40" s="42" t="s">
        <v>260</v>
      </c>
      <c r="J40" s="42" t="s">
        <v>260</v>
      </c>
      <c r="K40" s="42" t="s">
        <v>260</v>
      </c>
      <c r="L40" s="42" t="s">
        <v>260</v>
      </c>
      <c r="M40" s="42" t="s">
        <v>260</v>
      </c>
    </row>
    <row r="41" spans="1:13" s="2" customFormat="1" ht="21">
      <c r="A41" s="51"/>
      <c r="B41" s="19" t="s">
        <v>44</v>
      </c>
      <c r="C41" s="11" t="s">
        <v>55</v>
      </c>
      <c r="D41" s="9" t="s">
        <v>36</v>
      </c>
      <c r="E41" s="42" t="s">
        <v>260</v>
      </c>
      <c r="F41" s="42" t="s">
        <v>260</v>
      </c>
      <c r="G41" s="42" t="s">
        <v>260</v>
      </c>
      <c r="H41" s="42" t="s">
        <v>260</v>
      </c>
      <c r="I41" s="42" t="s">
        <v>260</v>
      </c>
      <c r="J41" s="42" t="s">
        <v>260</v>
      </c>
      <c r="K41" s="42" t="s">
        <v>260</v>
      </c>
      <c r="L41" s="42" t="s">
        <v>260</v>
      </c>
      <c r="M41" s="42" t="s">
        <v>260</v>
      </c>
    </row>
    <row r="42" spans="1:13" s="2" customFormat="1" ht="10.5">
      <c r="A42" s="51"/>
      <c r="B42" s="19" t="s">
        <v>46</v>
      </c>
      <c r="C42" s="10" t="s">
        <v>57</v>
      </c>
      <c r="D42" s="9" t="s">
        <v>58</v>
      </c>
      <c r="E42" s="42" t="s">
        <v>260</v>
      </c>
      <c r="F42" s="42" t="s">
        <v>260</v>
      </c>
      <c r="G42" s="42" t="s">
        <v>260</v>
      </c>
      <c r="H42" s="42" t="s">
        <v>260</v>
      </c>
      <c r="I42" s="42" t="s">
        <v>260</v>
      </c>
      <c r="J42" s="42" t="s">
        <v>260</v>
      </c>
      <c r="K42" s="42" t="s">
        <v>260</v>
      </c>
      <c r="L42" s="42" t="s">
        <v>260</v>
      </c>
      <c r="M42" s="42" t="s">
        <v>260</v>
      </c>
    </row>
    <row r="43" spans="1:13" s="2" customFormat="1" ht="10.5">
      <c r="A43" s="35" t="s">
        <v>161</v>
      </c>
      <c r="B43" s="19" t="s">
        <v>48</v>
      </c>
      <c r="C43" s="10" t="s">
        <v>60</v>
      </c>
      <c r="D43" s="8" t="s">
        <v>154</v>
      </c>
      <c r="E43" s="42">
        <v>2.8</v>
      </c>
      <c r="F43" s="42">
        <v>3.56</v>
      </c>
      <c r="G43" s="42">
        <v>3.1</v>
      </c>
      <c r="H43" s="42">
        <f>G43*96.7/100</f>
        <v>2.9977000000000005</v>
      </c>
      <c r="I43" s="42">
        <f>G43*99.1/100</f>
        <v>3.0720999999999998</v>
      </c>
      <c r="J43" s="42">
        <f>H43*97.9/100</f>
        <v>2.9347483000000008</v>
      </c>
      <c r="K43" s="42">
        <f>I43*100.5/100</f>
        <v>3.0874604999999997</v>
      </c>
      <c r="L43" s="42">
        <f>J43*101/100</f>
        <v>2.9640957830000008</v>
      </c>
      <c r="M43" s="42">
        <f>K43*101.8/100</f>
        <v>3.1430347889999997</v>
      </c>
    </row>
    <row r="44" spans="1:13" s="2" customFormat="1" ht="10.5">
      <c r="A44" s="34"/>
      <c r="B44" s="26" t="s">
        <v>187</v>
      </c>
      <c r="C44" s="27" t="s">
        <v>61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</row>
    <row r="45" spans="1:13" s="2" customFormat="1" ht="21">
      <c r="A45" s="51" t="s">
        <v>160</v>
      </c>
      <c r="B45" s="19" t="s">
        <v>53</v>
      </c>
      <c r="C45" s="11" t="s">
        <v>63</v>
      </c>
      <c r="D45" s="9" t="s">
        <v>64</v>
      </c>
      <c r="E45" s="42">
        <v>111.9</v>
      </c>
      <c r="F45" s="42">
        <v>107.4</v>
      </c>
      <c r="G45" s="42">
        <v>105.1</v>
      </c>
      <c r="H45" s="42">
        <v>104.4</v>
      </c>
      <c r="I45" s="42">
        <v>104</v>
      </c>
      <c r="J45" s="42">
        <v>104</v>
      </c>
      <c r="K45" s="42">
        <v>104</v>
      </c>
      <c r="L45" s="42">
        <v>104</v>
      </c>
      <c r="M45" s="42">
        <v>104</v>
      </c>
    </row>
    <row r="46" spans="1:13" s="2" customFormat="1" ht="10.5" customHeight="1">
      <c r="A46" s="51"/>
      <c r="B46" s="19" t="s">
        <v>54</v>
      </c>
      <c r="C46" s="11" t="s">
        <v>66</v>
      </c>
      <c r="D46" s="9" t="s">
        <v>58</v>
      </c>
      <c r="E46" s="42">
        <v>113.8</v>
      </c>
      <c r="F46" s="42">
        <v>105.9</v>
      </c>
      <c r="G46" s="42">
        <v>106.6</v>
      </c>
      <c r="H46" s="42">
        <v>105.2</v>
      </c>
      <c r="I46" s="42">
        <v>104.7</v>
      </c>
      <c r="J46" s="42">
        <v>104.1</v>
      </c>
      <c r="K46" s="42">
        <v>104</v>
      </c>
      <c r="L46" s="42">
        <v>104</v>
      </c>
      <c r="M46" s="42">
        <v>104</v>
      </c>
    </row>
    <row r="47" spans="1:13" s="2" customFormat="1" ht="10.5">
      <c r="A47" s="51"/>
      <c r="B47" s="19" t="s">
        <v>56</v>
      </c>
      <c r="C47" s="10" t="s">
        <v>68</v>
      </c>
      <c r="D47" s="8" t="s">
        <v>151</v>
      </c>
      <c r="E47" s="42">
        <v>526.5</v>
      </c>
      <c r="F47" s="42">
        <v>1363.3</v>
      </c>
      <c r="G47" s="42">
        <f>G48*F47/100</f>
        <v>1608.694</v>
      </c>
      <c r="H47" s="42">
        <f>G47*H48/100</f>
        <v>1663.389596</v>
      </c>
      <c r="I47" s="42">
        <f>G47*I48/100</f>
        <v>1669.8243719999998</v>
      </c>
      <c r="J47" s="42">
        <f>H47*J48/100</f>
        <v>1721.6082318599999</v>
      </c>
      <c r="K47" s="42">
        <f>I47*K48/100</f>
        <v>1734.947522508</v>
      </c>
      <c r="L47" s="42">
        <f>J47*L48/100</f>
        <v>1778.4213035113798</v>
      </c>
      <c r="M47" s="42">
        <f>K47*M48/100</f>
        <v>1799.1405808407962</v>
      </c>
    </row>
    <row r="48" spans="1:13" s="2" customFormat="1" ht="21">
      <c r="A48" s="51"/>
      <c r="B48" s="19" t="s">
        <v>59</v>
      </c>
      <c r="C48" s="10" t="s">
        <v>69</v>
      </c>
      <c r="D48" s="9" t="s">
        <v>36</v>
      </c>
      <c r="E48" s="42" t="s">
        <v>261</v>
      </c>
      <c r="F48" s="42" t="s">
        <v>262</v>
      </c>
      <c r="G48" s="42">
        <v>118</v>
      </c>
      <c r="H48" s="42">
        <v>103.4</v>
      </c>
      <c r="I48" s="42">
        <v>103.8</v>
      </c>
      <c r="J48" s="42">
        <v>103.5</v>
      </c>
      <c r="K48" s="42">
        <v>103.9</v>
      </c>
      <c r="L48" s="42">
        <v>103.3</v>
      </c>
      <c r="M48" s="42">
        <v>103.7</v>
      </c>
    </row>
    <row r="49" spans="1:13" s="2" customFormat="1" ht="10.5">
      <c r="A49" s="51"/>
      <c r="B49" s="19" t="s">
        <v>188</v>
      </c>
      <c r="C49" s="10" t="s">
        <v>70</v>
      </c>
      <c r="D49" s="8" t="s">
        <v>58</v>
      </c>
      <c r="E49" s="42" t="s">
        <v>260</v>
      </c>
      <c r="F49" s="42" t="s">
        <v>260</v>
      </c>
      <c r="G49" s="42">
        <v>115.4</v>
      </c>
      <c r="H49" s="42">
        <v>104.4</v>
      </c>
      <c r="I49" s="42">
        <v>105.4</v>
      </c>
      <c r="J49" s="42">
        <v>105.3</v>
      </c>
      <c r="K49" s="42">
        <v>106.1</v>
      </c>
      <c r="L49" s="42">
        <v>106</v>
      </c>
      <c r="M49" s="42">
        <v>106.5</v>
      </c>
    </row>
    <row r="50" spans="1:13" s="2" customFormat="1" ht="10.5">
      <c r="A50" s="51"/>
      <c r="B50" s="19" t="s">
        <v>189</v>
      </c>
      <c r="C50" s="10" t="s">
        <v>71</v>
      </c>
      <c r="D50" s="9" t="s">
        <v>151</v>
      </c>
      <c r="E50" s="42">
        <v>343</v>
      </c>
      <c r="F50" s="42">
        <v>358.8</v>
      </c>
      <c r="G50" s="42">
        <f>F50*G51/100</f>
        <v>376.0224</v>
      </c>
      <c r="H50" s="42">
        <f>G50*H51/100</f>
        <v>395.5755648</v>
      </c>
      <c r="I50" s="42">
        <f>H50*I51/100</f>
        <v>419.31009868799998</v>
      </c>
      <c r="J50" s="42">
        <f>J51*H50/100</f>
        <v>417.72779642879999</v>
      </c>
      <c r="K50" s="42">
        <f>I50*K51/100</f>
        <v>446.98456520140797</v>
      </c>
      <c r="L50" s="42">
        <f>J50*L51/100</f>
        <v>441.95600862167043</v>
      </c>
      <c r="M50" s="42">
        <f>K50*M51/100</f>
        <v>477.37951563510364</v>
      </c>
    </row>
    <row r="51" spans="1:13" s="2" customFormat="1" ht="21">
      <c r="A51" s="51"/>
      <c r="B51" s="19" t="s">
        <v>190</v>
      </c>
      <c r="C51" s="10" t="s">
        <v>72</v>
      </c>
      <c r="D51" s="9" t="s">
        <v>36</v>
      </c>
      <c r="E51" s="42">
        <v>98.9</v>
      </c>
      <c r="F51" s="42">
        <v>104.6</v>
      </c>
      <c r="G51" s="42">
        <v>104.8</v>
      </c>
      <c r="H51" s="42">
        <v>105.2</v>
      </c>
      <c r="I51" s="42">
        <v>106</v>
      </c>
      <c r="J51" s="42">
        <v>105.6</v>
      </c>
      <c r="K51" s="42">
        <v>106.6</v>
      </c>
      <c r="L51" s="42">
        <v>105.8</v>
      </c>
      <c r="M51" s="42">
        <v>106.8</v>
      </c>
    </row>
    <row r="52" spans="1:13" s="2" customFormat="1" ht="10.5">
      <c r="A52" s="51"/>
      <c r="B52" s="19" t="s">
        <v>191</v>
      </c>
      <c r="C52" s="10" t="s">
        <v>73</v>
      </c>
      <c r="D52" s="9" t="s">
        <v>58</v>
      </c>
      <c r="E52" s="42">
        <v>101.2</v>
      </c>
      <c r="F52" s="42">
        <v>105.2</v>
      </c>
      <c r="G52" s="42">
        <v>105.4</v>
      </c>
      <c r="H52" s="42">
        <v>105.8</v>
      </c>
      <c r="I52" s="42">
        <v>106.1</v>
      </c>
      <c r="J52" s="42">
        <v>106.5</v>
      </c>
      <c r="K52" s="42">
        <v>106.4</v>
      </c>
      <c r="L52" s="42">
        <v>106.8</v>
      </c>
      <c r="M52" s="42">
        <v>106.8</v>
      </c>
    </row>
    <row r="53" spans="1:13" s="2" customFormat="1" ht="21">
      <c r="A53" s="34"/>
      <c r="B53" s="26" t="s">
        <v>192</v>
      </c>
      <c r="C53" s="30" t="s">
        <v>79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</row>
    <row r="54" spans="1:13" s="2" customFormat="1" ht="21">
      <c r="A54" s="51" t="s">
        <v>160</v>
      </c>
      <c r="B54" s="19" t="s">
        <v>62</v>
      </c>
      <c r="C54" s="11" t="s">
        <v>81</v>
      </c>
      <c r="D54" s="8" t="s">
        <v>82</v>
      </c>
      <c r="E54" s="43">
        <v>844</v>
      </c>
      <c r="F54" s="43">
        <v>844</v>
      </c>
      <c r="G54" s="43">
        <v>868</v>
      </c>
      <c r="H54" s="43">
        <f>G54*100.7/100</f>
        <v>874.07600000000002</v>
      </c>
      <c r="I54" s="43">
        <f>G54*101.1/100</f>
        <v>877.54799999999989</v>
      </c>
      <c r="J54" s="43">
        <f>H54*101.4/100</f>
        <v>886.31306400000005</v>
      </c>
      <c r="K54" s="43">
        <f>I54*102.3/100</f>
        <v>897.73160399999983</v>
      </c>
      <c r="L54" s="43">
        <f>J54*102.1/100</f>
        <v>904.92563834400005</v>
      </c>
      <c r="M54" s="43">
        <f>K54*103.5/100</f>
        <v>929.15221013999985</v>
      </c>
    </row>
    <row r="55" spans="1:13" s="2" customFormat="1" ht="30.95" customHeight="1">
      <c r="A55" s="51"/>
      <c r="B55" s="19" t="s">
        <v>65</v>
      </c>
      <c r="C55" s="11" t="s">
        <v>84</v>
      </c>
      <c r="D55" s="8" t="s">
        <v>31</v>
      </c>
      <c r="E55" s="46">
        <v>2.62</v>
      </c>
      <c r="F55" s="46">
        <v>2.7</v>
      </c>
      <c r="G55" s="46">
        <v>3.38</v>
      </c>
      <c r="H55" s="46">
        <f>G55*100.7/100</f>
        <v>3.4036599999999999</v>
      </c>
      <c r="I55" s="46">
        <f>G55*101.1/100</f>
        <v>3.4171799999999997</v>
      </c>
      <c r="J55" s="46">
        <f>H55*101.4/100</f>
        <v>3.4513112399999999</v>
      </c>
      <c r="K55" s="46">
        <f>I55*102.3/100</f>
        <v>3.4957751399999997</v>
      </c>
      <c r="L55" s="46">
        <f>J55*102.1/100</f>
        <v>3.5237887760399995</v>
      </c>
      <c r="M55" s="46">
        <f>K55*103.5/100</f>
        <v>3.6181272699</v>
      </c>
    </row>
    <row r="56" spans="1:13" s="2" customFormat="1" ht="21.75" customHeight="1">
      <c r="A56" s="51"/>
      <c r="B56" s="19" t="s">
        <v>67</v>
      </c>
      <c r="C56" s="11" t="s">
        <v>86</v>
      </c>
      <c r="D56" s="8" t="s">
        <v>150</v>
      </c>
      <c r="E56" s="42" t="s">
        <v>260</v>
      </c>
      <c r="F56" s="42" t="s">
        <v>260</v>
      </c>
      <c r="G56" s="42" t="s">
        <v>260</v>
      </c>
      <c r="H56" s="42" t="s">
        <v>260</v>
      </c>
      <c r="I56" s="42" t="s">
        <v>260</v>
      </c>
      <c r="J56" s="42" t="s">
        <v>260</v>
      </c>
      <c r="K56" s="42" t="s">
        <v>260</v>
      </c>
      <c r="L56" s="42" t="s">
        <v>260</v>
      </c>
      <c r="M56" s="42" t="s">
        <v>260</v>
      </c>
    </row>
    <row r="57" spans="1:13" s="2" customFormat="1" ht="19.5" customHeight="1">
      <c r="A57" s="34"/>
      <c r="B57" s="26" t="s">
        <v>193</v>
      </c>
      <c r="C57" s="27" t="s">
        <v>87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</row>
    <row r="58" spans="1:13" s="2" customFormat="1" ht="10.5">
      <c r="A58" s="51" t="s">
        <v>160</v>
      </c>
      <c r="B58" s="19" t="s">
        <v>74</v>
      </c>
      <c r="C58" s="10" t="s">
        <v>89</v>
      </c>
      <c r="D58" s="8" t="s">
        <v>151</v>
      </c>
      <c r="E58" s="42">
        <v>870.2</v>
      </c>
      <c r="F58" s="42">
        <v>2949.13</v>
      </c>
      <c r="G58" s="42">
        <f>F58*G59/100</f>
        <v>2981.5704300000002</v>
      </c>
      <c r="H58" s="42">
        <f>G58*H59/100</f>
        <v>2984.5520004299997</v>
      </c>
      <c r="I58" s="42">
        <f>G58*I59/100</f>
        <v>3011.3861343000003</v>
      </c>
      <c r="J58" s="42">
        <f>H58*J59/100</f>
        <v>2993.5056564312895</v>
      </c>
      <c r="K58" s="42">
        <f>I58*K59/100</f>
        <v>3047.5227679116006</v>
      </c>
      <c r="L58" s="42">
        <f>J58*L59/100</f>
        <v>3008.4731847134458</v>
      </c>
      <c r="M58" s="42">
        <f>K58*M59/100</f>
        <v>3090.1880866623628</v>
      </c>
    </row>
    <row r="59" spans="1:13" s="2" customFormat="1" ht="21">
      <c r="A59" s="51"/>
      <c r="B59" s="19" t="s">
        <v>75</v>
      </c>
      <c r="C59" s="10" t="s">
        <v>91</v>
      </c>
      <c r="D59" s="9" t="s">
        <v>36</v>
      </c>
      <c r="E59" s="42">
        <v>121.1</v>
      </c>
      <c r="F59" s="42" t="s">
        <v>263</v>
      </c>
      <c r="G59" s="42">
        <v>101.1</v>
      </c>
      <c r="H59" s="42">
        <v>100.1</v>
      </c>
      <c r="I59" s="42">
        <v>101</v>
      </c>
      <c r="J59" s="42">
        <v>100.3</v>
      </c>
      <c r="K59" s="42">
        <v>101.2</v>
      </c>
      <c r="L59" s="42">
        <v>100.5</v>
      </c>
      <c r="M59" s="42">
        <v>101.4</v>
      </c>
    </row>
    <row r="60" spans="1:13" s="2" customFormat="1" ht="10.5">
      <c r="A60" s="51"/>
      <c r="B60" s="19" t="s">
        <v>76</v>
      </c>
      <c r="C60" s="10" t="s">
        <v>92</v>
      </c>
      <c r="D60" s="8" t="s">
        <v>58</v>
      </c>
      <c r="E60" s="42" t="s">
        <v>260</v>
      </c>
      <c r="F60" s="42">
        <v>114.6</v>
      </c>
      <c r="G60" s="42">
        <v>108.4</v>
      </c>
      <c r="H60" s="42">
        <v>107.4</v>
      </c>
      <c r="I60" s="42">
        <v>107.3</v>
      </c>
      <c r="J60" s="42">
        <v>105</v>
      </c>
      <c r="K60" s="42">
        <v>105.3</v>
      </c>
      <c r="L60" s="42">
        <v>104.3</v>
      </c>
      <c r="M60" s="42">
        <v>104.4</v>
      </c>
    </row>
    <row r="61" spans="1:13" s="2" customFormat="1" ht="36">
      <c r="A61" s="51"/>
      <c r="B61" s="19"/>
      <c r="C61" s="13" t="s">
        <v>155</v>
      </c>
      <c r="D61" s="8"/>
      <c r="E61" s="42"/>
      <c r="F61" s="42"/>
      <c r="G61" s="42"/>
      <c r="H61" s="42"/>
      <c r="I61" s="42"/>
      <c r="J61" s="42"/>
      <c r="K61" s="42"/>
      <c r="L61" s="42"/>
      <c r="M61" s="42"/>
    </row>
    <row r="62" spans="1:13" s="2" customFormat="1" ht="10.5">
      <c r="A62" s="51"/>
      <c r="B62" s="19" t="s">
        <v>77</v>
      </c>
      <c r="C62" s="10" t="s">
        <v>96</v>
      </c>
      <c r="D62" s="8" t="s">
        <v>151</v>
      </c>
      <c r="E62" s="42">
        <v>777.5</v>
      </c>
      <c r="F62" s="42" t="s">
        <v>260</v>
      </c>
      <c r="G62" s="42" t="s">
        <v>260</v>
      </c>
      <c r="H62" s="42" t="s">
        <v>260</v>
      </c>
      <c r="I62" s="42" t="s">
        <v>260</v>
      </c>
      <c r="J62" s="42" t="s">
        <v>260</v>
      </c>
      <c r="K62" s="42" t="s">
        <v>260</v>
      </c>
      <c r="L62" s="42" t="s">
        <v>260</v>
      </c>
      <c r="M62" s="42" t="s">
        <v>260</v>
      </c>
    </row>
    <row r="63" spans="1:13" s="2" customFormat="1" ht="10.5">
      <c r="A63" s="51"/>
      <c r="B63" s="19" t="s">
        <v>78</v>
      </c>
      <c r="C63" s="10" t="s">
        <v>98</v>
      </c>
      <c r="D63" s="8" t="s">
        <v>151</v>
      </c>
      <c r="E63" s="42">
        <v>92.6</v>
      </c>
      <c r="F63" s="42" t="s">
        <v>260</v>
      </c>
      <c r="G63" s="42" t="s">
        <v>260</v>
      </c>
      <c r="H63" s="42" t="s">
        <v>260</v>
      </c>
      <c r="I63" s="42" t="s">
        <v>260</v>
      </c>
      <c r="J63" s="42" t="s">
        <v>260</v>
      </c>
      <c r="K63" s="42" t="s">
        <v>260</v>
      </c>
      <c r="L63" s="42" t="s">
        <v>260</v>
      </c>
      <c r="M63" s="42" t="s">
        <v>260</v>
      </c>
    </row>
    <row r="64" spans="1:13" s="2" customFormat="1" ht="10.5">
      <c r="A64" s="51"/>
      <c r="B64" s="19" t="s">
        <v>241</v>
      </c>
      <c r="C64" s="15" t="s">
        <v>99</v>
      </c>
      <c r="D64" s="8" t="s">
        <v>151</v>
      </c>
      <c r="E64" s="42" t="s">
        <v>260</v>
      </c>
      <c r="F64" s="42" t="s">
        <v>260</v>
      </c>
      <c r="G64" s="42" t="s">
        <v>260</v>
      </c>
      <c r="H64" s="42" t="s">
        <v>260</v>
      </c>
      <c r="I64" s="42" t="s">
        <v>260</v>
      </c>
      <c r="J64" s="42" t="s">
        <v>260</v>
      </c>
      <c r="K64" s="42" t="s">
        <v>260</v>
      </c>
      <c r="L64" s="42" t="s">
        <v>260</v>
      </c>
      <c r="M64" s="42" t="s">
        <v>260</v>
      </c>
    </row>
    <row r="65" spans="1:13" s="2" customFormat="1" ht="10.5">
      <c r="A65" s="51"/>
      <c r="B65" s="19" t="s">
        <v>242</v>
      </c>
      <c r="C65" s="16" t="s">
        <v>149</v>
      </c>
      <c r="D65" s="8" t="s">
        <v>151</v>
      </c>
      <c r="E65" s="42" t="s">
        <v>260</v>
      </c>
      <c r="F65" s="42" t="s">
        <v>260</v>
      </c>
      <c r="G65" s="42" t="s">
        <v>260</v>
      </c>
      <c r="H65" s="42" t="s">
        <v>260</v>
      </c>
      <c r="I65" s="42" t="s">
        <v>260</v>
      </c>
      <c r="J65" s="42" t="s">
        <v>260</v>
      </c>
      <c r="K65" s="42" t="s">
        <v>260</v>
      </c>
      <c r="L65" s="42" t="s">
        <v>260</v>
      </c>
      <c r="M65" s="42" t="s">
        <v>260</v>
      </c>
    </row>
    <row r="66" spans="1:13" s="2" customFormat="1" ht="10.5">
      <c r="A66" s="51"/>
      <c r="B66" s="19" t="s">
        <v>243</v>
      </c>
      <c r="C66" s="15" t="s">
        <v>100</v>
      </c>
      <c r="D66" s="8" t="s">
        <v>151</v>
      </c>
      <c r="E66" s="42" t="s">
        <v>260</v>
      </c>
      <c r="F66" s="42" t="s">
        <v>260</v>
      </c>
      <c r="G66" s="42" t="s">
        <v>260</v>
      </c>
      <c r="H66" s="42" t="s">
        <v>260</v>
      </c>
      <c r="I66" s="42" t="s">
        <v>260</v>
      </c>
      <c r="J66" s="42" t="s">
        <v>260</v>
      </c>
      <c r="K66" s="42" t="s">
        <v>260</v>
      </c>
      <c r="L66" s="42" t="s">
        <v>260</v>
      </c>
      <c r="M66" s="42" t="s">
        <v>260</v>
      </c>
    </row>
    <row r="67" spans="1:13" s="2" customFormat="1" ht="10.5">
      <c r="A67" s="51"/>
      <c r="B67" s="19" t="s">
        <v>244</v>
      </c>
      <c r="C67" s="15" t="s">
        <v>101</v>
      </c>
      <c r="D67" s="8" t="s">
        <v>151</v>
      </c>
      <c r="E67" s="42">
        <v>52.1</v>
      </c>
      <c r="F67" s="42" t="s">
        <v>260</v>
      </c>
      <c r="G67" s="42" t="s">
        <v>260</v>
      </c>
      <c r="H67" s="42" t="s">
        <v>260</v>
      </c>
      <c r="I67" s="42" t="s">
        <v>260</v>
      </c>
      <c r="J67" s="42" t="s">
        <v>260</v>
      </c>
      <c r="K67" s="42" t="s">
        <v>260</v>
      </c>
      <c r="L67" s="42" t="s">
        <v>260</v>
      </c>
      <c r="M67" s="42" t="s">
        <v>260</v>
      </c>
    </row>
    <row r="68" spans="1:13" s="2" customFormat="1" ht="10.5">
      <c r="A68" s="51"/>
      <c r="B68" s="19" t="s">
        <v>245</v>
      </c>
      <c r="C68" s="16" t="s">
        <v>102</v>
      </c>
      <c r="D68" s="8" t="s">
        <v>151</v>
      </c>
      <c r="E68" s="42">
        <v>1.4</v>
      </c>
      <c r="F68" s="42" t="s">
        <v>260</v>
      </c>
      <c r="G68" s="42" t="s">
        <v>260</v>
      </c>
      <c r="H68" s="42" t="s">
        <v>260</v>
      </c>
      <c r="I68" s="42" t="s">
        <v>260</v>
      </c>
      <c r="J68" s="42" t="s">
        <v>260</v>
      </c>
      <c r="K68" s="42" t="s">
        <v>260</v>
      </c>
      <c r="L68" s="42" t="s">
        <v>260</v>
      </c>
      <c r="M68" s="42" t="s">
        <v>260</v>
      </c>
    </row>
    <row r="69" spans="1:13" s="2" customFormat="1" ht="10.5">
      <c r="A69" s="51"/>
      <c r="B69" s="19" t="s">
        <v>246</v>
      </c>
      <c r="C69" s="16" t="s">
        <v>103</v>
      </c>
      <c r="D69" s="8" t="s">
        <v>151</v>
      </c>
      <c r="E69" s="42">
        <v>70.3</v>
      </c>
      <c r="F69" s="42" t="s">
        <v>260</v>
      </c>
      <c r="G69" s="42" t="s">
        <v>260</v>
      </c>
      <c r="H69" s="42" t="s">
        <v>260</v>
      </c>
      <c r="I69" s="42" t="s">
        <v>260</v>
      </c>
      <c r="J69" s="42" t="s">
        <v>260</v>
      </c>
      <c r="K69" s="42" t="s">
        <v>260</v>
      </c>
      <c r="L69" s="42" t="s">
        <v>260</v>
      </c>
      <c r="M69" s="42" t="s">
        <v>260</v>
      </c>
    </row>
    <row r="70" spans="1:13" s="2" customFormat="1" ht="10.5">
      <c r="A70" s="51"/>
      <c r="B70" s="19" t="s">
        <v>247</v>
      </c>
      <c r="C70" s="16" t="s">
        <v>104</v>
      </c>
      <c r="D70" s="8" t="s">
        <v>151</v>
      </c>
      <c r="E70" s="42" t="s">
        <v>260</v>
      </c>
      <c r="F70" s="42" t="s">
        <v>260</v>
      </c>
      <c r="G70" s="42" t="s">
        <v>260</v>
      </c>
      <c r="H70" s="42" t="s">
        <v>260</v>
      </c>
      <c r="I70" s="42" t="s">
        <v>260</v>
      </c>
      <c r="J70" s="42" t="s">
        <v>260</v>
      </c>
      <c r="K70" s="42" t="s">
        <v>260</v>
      </c>
      <c r="L70" s="42" t="s">
        <v>260</v>
      </c>
      <c r="M70" s="42" t="s">
        <v>260</v>
      </c>
    </row>
    <row r="71" spans="1:13" s="2" customFormat="1" ht="10.5">
      <c r="A71" s="51"/>
      <c r="B71" s="19" t="s">
        <v>248</v>
      </c>
      <c r="C71" s="15" t="s">
        <v>105</v>
      </c>
      <c r="D71" s="8" t="s">
        <v>151</v>
      </c>
      <c r="E71" s="42">
        <v>50.7</v>
      </c>
      <c r="F71" s="42" t="s">
        <v>260</v>
      </c>
      <c r="G71" s="42" t="s">
        <v>260</v>
      </c>
      <c r="H71" s="42" t="s">
        <v>260</v>
      </c>
      <c r="I71" s="42" t="s">
        <v>260</v>
      </c>
      <c r="J71" s="42" t="s">
        <v>260</v>
      </c>
      <c r="K71" s="42" t="s">
        <v>260</v>
      </c>
      <c r="L71" s="42" t="s">
        <v>260</v>
      </c>
      <c r="M71" s="42" t="s">
        <v>260</v>
      </c>
    </row>
    <row r="72" spans="1:13" s="2" customFormat="1" ht="10.5" customHeight="1">
      <c r="A72" s="34"/>
      <c r="B72" s="26" t="s">
        <v>194</v>
      </c>
      <c r="C72" s="30" t="s">
        <v>249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</row>
    <row r="73" spans="1:13" s="2" customFormat="1" ht="21" customHeight="1">
      <c r="A73" s="67" t="s">
        <v>162</v>
      </c>
      <c r="B73" s="19" t="s">
        <v>80</v>
      </c>
      <c r="C73" s="13" t="s">
        <v>250</v>
      </c>
      <c r="D73" s="8" t="s">
        <v>150</v>
      </c>
      <c r="E73" s="42">
        <v>1032.4000000000001</v>
      </c>
      <c r="F73" s="42">
        <v>1301.4000000000001</v>
      </c>
      <c r="G73" s="42">
        <f t="shared" ref="G73:M73" si="2">G74+G87</f>
        <v>1525.49</v>
      </c>
      <c r="H73" s="42">
        <f t="shared" si="2"/>
        <v>1366.95</v>
      </c>
      <c r="I73" s="42">
        <f t="shared" si="2"/>
        <v>1366.95</v>
      </c>
      <c r="J73" s="42">
        <f t="shared" si="2"/>
        <v>1242.7399999999998</v>
      </c>
      <c r="K73" s="42">
        <f t="shared" si="2"/>
        <v>1242.7399999999998</v>
      </c>
      <c r="L73" s="42">
        <f t="shared" si="2"/>
        <v>1267.56</v>
      </c>
      <c r="M73" s="42">
        <f t="shared" si="2"/>
        <v>1267.56</v>
      </c>
    </row>
    <row r="74" spans="1:13" s="2" customFormat="1" ht="12.75" customHeight="1">
      <c r="A74" s="67"/>
      <c r="B74" s="19" t="s">
        <v>83</v>
      </c>
      <c r="C74" s="14" t="s">
        <v>108</v>
      </c>
      <c r="D74" s="8" t="s">
        <v>150</v>
      </c>
      <c r="E74" s="42">
        <v>571.6</v>
      </c>
      <c r="F74" s="42">
        <v>520.70000000000005</v>
      </c>
      <c r="G74" s="42">
        <f t="shared" ref="G74:M74" si="3">G75+G86</f>
        <v>584.12</v>
      </c>
      <c r="H74" s="42">
        <f t="shared" si="3"/>
        <v>650.22</v>
      </c>
      <c r="I74" s="42">
        <f t="shared" si="3"/>
        <v>650.22</v>
      </c>
      <c r="J74" s="42">
        <f t="shared" si="3"/>
        <v>620.67999999999995</v>
      </c>
      <c r="K74" s="42">
        <f t="shared" si="3"/>
        <v>620.67999999999995</v>
      </c>
      <c r="L74" s="42">
        <f t="shared" si="3"/>
        <v>659.85</v>
      </c>
      <c r="M74" s="42">
        <f t="shared" si="3"/>
        <v>659.85</v>
      </c>
    </row>
    <row r="75" spans="1:13" s="2" customFormat="1" ht="21" customHeight="1">
      <c r="A75" s="67"/>
      <c r="B75" s="19" t="s">
        <v>85</v>
      </c>
      <c r="C75" s="13" t="s">
        <v>251</v>
      </c>
      <c r="D75" s="8" t="s">
        <v>150</v>
      </c>
      <c r="E75" s="42">
        <v>543.1</v>
      </c>
      <c r="F75" s="42">
        <v>487.2</v>
      </c>
      <c r="G75" s="42">
        <v>563.07000000000005</v>
      </c>
      <c r="H75" s="42">
        <f>H77+H79+H80+H81+H85+0.12+11.78+6</f>
        <v>629.12</v>
      </c>
      <c r="I75" s="42">
        <f>I77+I79+I80+I81+I85+0.12+11.78+6</f>
        <v>629.12</v>
      </c>
      <c r="J75" s="42">
        <f>J77+J79+J80+J81+J85+0.12+12.18+6.01</f>
        <v>599.51</v>
      </c>
      <c r="K75" s="42">
        <f>K77+K79+K80+K81+K85+0.12+12.18+6.01</f>
        <v>599.51</v>
      </c>
      <c r="L75" s="42">
        <f>L77+L79+L80+L81+L85+0.12+12.61+6.01</f>
        <v>638.6</v>
      </c>
      <c r="M75" s="42">
        <f>M77+M79+M80+M81+M85+0.12+12.61+6.01</f>
        <v>638.6</v>
      </c>
    </row>
    <row r="76" spans="1:13" s="2" customFormat="1" ht="10.5">
      <c r="A76" s="67"/>
      <c r="B76" s="19" t="s">
        <v>195</v>
      </c>
      <c r="C76" s="15" t="s">
        <v>111</v>
      </c>
      <c r="D76" s="8" t="s">
        <v>150</v>
      </c>
      <c r="E76" s="42"/>
      <c r="F76" s="42"/>
      <c r="G76" s="42"/>
      <c r="H76" s="42"/>
      <c r="I76" s="42"/>
      <c r="J76" s="42"/>
      <c r="K76" s="42"/>
      <c r="L76" s="42"/>
      <c r="M76" s="42"/>
    </row>
    <row r="77" spans="1:13" s="2" customFormat="1" ht="10.5">
      <c r="A77" s="67"/>
      <c r="B77" s="19" t="s">
        <v>196</v>
      </c>
      <c r="C77" s="15" t="s">
        <v>113</v>
      </c>
      <c r="D77" s="8" t="s">
        <v>150</v>
      </c>
      <c r="E77" s="42">
        <v>439.8</v>
      </c>
      <c r="F77" s="42">
        <v>431</v>
      </c>
      <c r="G77" s="42">
        <v>501.92</v>
      </c>
      <c r="H77" s="42">
        <v>565.27</v>
      </c>
      <c r="I77" s="42">
        <v>565.27</v>
      </c>
      <c r="J77" s="42">
        <v>534.09</v>
      </c>
      <c r="K77" s="42">
        <v>534.09</v>
      </c>
      <c r="L77" s="42">
        <v>564.46</v>
      </c>
      <c r="M77" s="42">
        <v>564.46</v>
      </c>
    </row>
    <row r="78" spans="1:13" s="2" customFormat="1" ht="10.5">
      <c r="A78" s="67"/>
      <c r="B78" s="19" t="s">
        <v>197</v>
      </c>
      <c r="C78" s="15" t="s">
        <v>115</v>
      </c>
      <c r="D78" s="8" t="s">
        <v>150</v>
      </c>
      <c r="E78" s="42"/>
      <c r="F78" s="42"/>
      <c r="G78" s="42"/>
      <c r="H78" s="42"/>
      <c r="I78" s="42"/>
      <c r="J78" s="42"/>
      <c r="K78" s="42"/>
      <c r="L78" s="42"/>
      <c r="M78" s="42"/>
    </row>
    <row r="79" spans="1:13" s="2" customFormat="1" ht="10.5">
      <c r="A79" s="67"/>
      <c r="B79" s="19" t="s">
        <v>198</v>
      </c>
      <c r="C79" s="15" t="s">
        <v>117</v>
      </c>
      <c r="D79" s="8" t="s">
        <v>150</v>
      </c>
      <c r="E79" s="42">
        <v>16.7</v>
      </c>
      <c r="F79" s="42">
        <v>18.7</v>
      </c>
      <c r="G79" s="42">
        <v>22.01</v>
      </c>
      <c r="H79" s="42">
        <v>22.73</v>
      </c>
      <c r="I79" s="42">
        <v>22.73</v>
      </c>
      <c r="J79" s="42">
        <v>23.79</v>
      </c>
      <c r="K79" s="42">
        <v>23.79</v>
      </c>
      <c r="L79" s="42">
        <v>31.98</v>
      </c>
      <c r="M79" s="42">
        <v>31.98</v>
      </c>
    </row>
    <row r="80" spans="1:13" s="2" customFormat="1" ht="21">
      <c r="A80" s="67"/>
      <c r="B80" s="19" t="s">
        <v>199</v>
      </c>
      <c r="C80" s="17" t="s">
        <v>118</v>
      </c>
      <c r="D80" s="7" t="s">
        <v>150</v>
      </c>
      <c r="E80" s="44">
        <v>49.3</v>
      </c>
      <c r="F80" s="44">
        <v>2.1</v>
      </c>
      <c r="G80" s="44">
        <v>2.04</v>
      </c>
      <c r="H80" s="44">
        <v>2.85</v>
      </c>
      <c r="I80" s="44">
        <v>2.85</v>
      </c>
      <c r="J80" s="44">
        <v>2.95</v>
      </c>
      <c r="K80" s="44">
        <v>2.95</v>
      </c>
      <c r="L80" s="44">
        <v>3.05</v>
      </c>
      <c r="M80" s="44">
        <v>3.05</v>
      </c>
    </row>
    <row r="81" spans="1:13" s="2" customFormat="1" ht="10.5">
      <c r="A81" s="67"/>
      <c r="B81" s="19" t="s">
        <v>200</v>
      </c>
      <c r="C81" s="15" t="s">
        <v>119</v>
      </c>
      <c r="D81" s="8" t="s">
        <v>150</v>
      </c>
      <c r="E81" s="42">
        <v>9.6</v>
      </c>
      <c r="F81" s="42">
        <v>11.5</v>
      </c>
      <c r="G81" s="42">
        <v>10.220000000000001</v>
      </c>
      <c r="H81" s="42">
        <v>10.49</v>
      </c>
      <c r="I81" s="42">
        <v>10.49</v>
      </c>
      <c r="J81" s="42">
        <v>10.49</v>
      </c>
      <c r="K81" s="42">
        <v>10.49</v>
      </c>
      <c r="L81" s="42">
        <v>10.49</v>
      </c>
      <c r="M81" s="42">
        <v>10.49</v>
      </c>
    </row>
    <row r="82" spans="1:13" s="2" customFormat="1" ht="10.5">
      <c r="A82" s="67"/>
      <c r="B82" s="19" t="s">
        <v>201</v>
      </c>
      <c r="C82" s="15" t="s">
        <v>120</v>
      </c>
      <c r="D82" s="8" t="s">
        <v>150</v>
      </c>
      <c r="E82" s="42"/>
      <c r="F82" s="42"/>
      <c r="G82" s="42"/>
      <c r="H82" s="42"/>
      <c r="I82" s="42"/>
      <c r="J82" s="42"/>
      <c r="K82" s="42"/>
      <c r="L82" s="42"/>
      <c r="M82" s="42"/>
    </row>
    <row r="83" spans="1:13" s="2" customFormat="1" ht="10.5">
      <c r="A83" s="67"/>
      <c r="B83" s="19" t="s">
        <v>202</v>
      </c>
      <c r="C83" s="15" t="s">
        <v>121</v>
      </c>
      <c r="D83" s="8" t="s">
        <v>150</v>
      </c>
      <c r="E83" s="42"/>
      <c r="F83" s="42"/>
      <c r="G83" s="42"/>
      <c r="H83" s="42"/>
      <c r="I83" s="42"/>
      <c r="J83" s="42"/>
      <c r="K83" s="42"/>
      <c r="L83" s="42"/>
      <c r="M83" s="42"/>
    </row>
    <row r="84" spans="1:13" s="2" customFormat="1" ht="10.5">
      <c r="A84" s="67"/>
      <c r="B84" s="19" t="s">
        <v>203</v>
      </c>
      <c r="C84" s="15" t="s">
        <v>122</v>
      </c>
      <c r="D84" s="8" t="s">
        <v>150</v>
      </c>
      <c r="E84" s="42"/>
      <c r="F84" s="42"/>
      <c r="G84" s="42"/>
      <c r="H84" s="42"/>
      <c r="I84" s="42"/>
      <c r="J84" s="42"/>
      <c r="K84" s="42"/>
      <c r="L84" s="42"/>
      <c r="M84" s="42"/>
    </row>
    <row r="85" spans="1:13" s="2" customFormat="1" ht="10.5">
      <c r="A85" s="67"/>
      <c r="B85" s="19" t="s">
        <v>204</v>
      </c>
      <c r="C85" s="15" t="s">
        <v>123</v>
      </c>
      <c r="D85" s="8" t="s">
        <v>150</v>
      </c>
      <c r="E85" s="42">
        <v>9.9</v>
      </c>
      <c r="F85" s="42">
        <v>10</v>
      </c>
      <c r="G85" s="42">
        <v>10.130000000000001</v>
      </c>
      <c r="H85" s="42">
        <v>9.8800000000000008</v>
      </c>
      <c r="I85" s="42">
        <v>9.8800000000000008</v>
      </c>
      <c r="J85" s="42">
        <v>9.8800000000000008</v>
      </c>
      <c r="K85" s="42">
        <v>9.8800000000000008</v>
      </c>
      <c r="L85" s="42">
        <v>9.8800000000000008</v>
      </c>
      <c r="M85" s="42">
        <v>9.8800000000000008</v>
      </c>
    </row>
    <row r="86" spans="1:13" s="2" customFormat="1" ht="10.5">
      <c r="A86" s="67"/>
      <c r="B86" s="19" t="s">
        <v>205</v>
      </c>
      <c r="C86" s="14" t="s">
        <v>124</v>
      </c>
      <c r="D86" s="8" t="s">
        <v>150</v>
      </c>
      <c r="E86" s="42">
        <v>28.5</v>
      </c>
      <c r="F86" s="42">
        <v>33.5</v>
      </c>
      <c r="G86" s="42">
        <v>21.05</v>
      </c>
      <c r="H86" s="42">
        <v>21.1</v>
      </c>
      <c r="I86" s="42">
        <v>21.1</v>
      </c>
      <c r="J86" s="42">
        <v>21.17</v>
      </c>
      <c r="K86" s="42">
        <v>21.17</v>
      </c>
      <c r="L86" s="42">
        <v>21.25</v>
      </c>
      <c r="M86" s="42">
        <v>21.25</v>
      </c>
    </row>
    <row r="87" spans="1:13" s="2" customFormat="1" ht="10.5">
      <c r="A87" s="67"/>
      <c r="B87" s="19" t="s">
        <v>206</v>
      </c>
      <c r="C87" s="14" t="s">
        <v>125</v>
      </c>
      <c r="D87" s="8" t="s">
        <v>150</v>
      </c>
      <c r="E87" s="42">
        <v>460.8</v>
      </c>
      <c r="F87" s="42">
        <v>780.7</v>
      </c>
      <c r="G87" s="42">
        <v>941.37</v>
      </c>
      <c r="H87" s="42">
        <v>716.73</v>
      </c>
      <c r="I87" s="42">
        <v>716.73</v>
      </c>
      <c r="J87" s="42">
        <v>622.05999999999995</v>
      </c>
      <c r="K87" s="42">
        <v>622.05999999999995</v>
      </c>
      <c r="L87" s="42">
        <v>607.71</v>
      </c>
      <c r="M87" s="42">
        <v>607.71</v>
      </c>
    </row>
    <row r="88" spans="1:13" s="2" customFormat="1" ht="21" customHeight="1">
      <c r="A88" s="67"/>
      <c r="B88" s="19" t="s">
        <v>207</v>
      </c>
      <c r="C88" s="13" t="s">
        <v>252</v>
      </c>
      <c r="D88" s="8" t="s">
        <v>150</v>
      </c>
      <c r="E88" s="42">
        <v>965.2</v>
      </c>
      <c r="F88" s="42">
        <v>1295.2</v>
      </c>
      <c r="G88" s="42">
        <f>G89+G90+G91+G92+G93+G94+G95+G96+G97+G98+G99+G100</f>
        <v>1588.59</v>
      </c>
      <c r="H88" s="42">
        <v>1366.95</v>
      </c>
      <c r="I88" s="42">
        <f>I89+I90+I91+I92+I93+I94+I95+I96+I97+I98+I99+I100</f>
        <v>1366.9499999999998</v>
      </c>
      <c r="J88" s="42">
        <v>1242.74</v>
      </c>
      <c r="K88" s="42">
        <f>K89+K90+K91+K92+K93+K94+K95+K96+K97+K98+K99+K100</f>
        <v>1242.74</v>
      </c>
      <c r="L88" s="42">
        <v>1267.56</v>
      </c>
      <c r="M88" s="42">
        <f>M89+M90+M91+M92+M93+M94+M95+M96+M97+M98+M99+M100</f>
        <v>1267.56</v>
      </c>
    </row>
    <row r="89" spans="1:13" s="2" customFormat="1" ht="10.5">
      <c r="A89" s="67"/>
      <c r="B89" s="19" t="s">
        <v>208</v>
      </c>
      <c r="C89" s="15" t="s">
        <v>126</v>
      </c>
      <c r="D89" s="8" t="s">
        <v>150</v>
      </c>
      <c r="E89" s="42">
        <v>106.2</v>
      </c>
      <c r="F89" s="42">
        <v>109.2</v>
      </c>
      <c r="G89" s="42">
        <v>129.55000000000001</v>
      </c>
      <c r="H89" s="42">
        <v>110.2</v>
      </c>
      <c r="I89" s="42">
        <v>110.2</v>
      </c>
      <c r="J89" s="42">
        <v>110.2</v>
      </c>
      <c r="K89" s="42">
        <v>110.2</v>
      </c>
      <c r="L89" s="42">
        <v>114.6</v>
      </c>
      <c r="M89" s="42">
        <v>114.6</v>
      </c>
    </row>
    <row r="90" spans="1:13" s="2" customFormat="1" ht="10.5">
      <c r="A90" s="67"/>
      <c r="B90" s="19" t="s">
        <v>209</v>
      </c>
      <c r="C90" s="15" t="s">
        <v>127</v>
      </c>
      <c r="D90" s="8" t="s">
        <v>150</v>
      </c>
      <c r="E90" s="42"/>
      <c r="F90" s="42"/>
      <c r="G90" s="42"/>
      <c r="H90" s="42"/>
      <c r="I90" s="42"/>
      <c r="J90" s="42"/>
      <c r="K90" s="42"/>
      <c r="L90" s="42"/>
      <c r="M90" s="42"/>
    </row>
    <row r="91" spans="1:13" s="2" customFormat="1" ht="24.75" customHeight="1">
      <c r="A91" s="67"/>
      <c r="B91" s="19" t="s">
        <v>210</v>
      </c>
      <c r="C91" s="17" t="s">
        <v>153</v>
      </c>
      <c r="D91" s="7" t="s">
        <v>150</v>
      </c>
      <c r="E91" s="44">
        <v>0.9</v>
      </c>
      <c r="F91" s="44">
        <v>18.2</v>
      </c>
      <c r="G91" s="44">
        <v>42.84</v>
      </c>
      <c r="H91" s="44">
        <v>36.9</v>
      </c>
      <c r="I91" s="44">
        <v>36.9</v>
      </c>
      <c r="J91" s="44">
        <v>16</v>
      </c>
      <c r="K91" s="44">
        <v>16</v>
      </c>
      <c r="L91" s="44">
        <v>11</v>
      </c>
      <c r="M91" s="44">
        <v>11</v>
      </c>
    </row>
    <row r="92" spans="1:13" s="2" customFormat="1" ht="10.5">
      <c r="A92" s="67"/>
      <c r="B92" s="19" t="s">
        <v>211</v>
      </c>
      <c r="C92" s="15" t="s">
        <v>128</v>
      </c>
      <c r="D92" s="8" t="s">
        <v>150</v>
      </c>
      <c r="E92" s="42">
        <v>40.700000000000003</v>
      </c>
      <c r="F92" s="42">
        <v>100.4</v>
      </c>
      <c r="G92" s="42">
        <v>134.75</v>
      </c>
      <c r="H92" s="42">
        <v>116.2</v>
      </c>
      <c r="I92" s="42">
        <v>116.2</v>
      </c>
      <c r="J92" s="42">
        <v>62</v>
      </c>
      <c r="K92" s="42">
        <v>62</v>
      </c>
      <c r="L92" s="42">
        <v>28</v>
      </c>
      <c r="M92" s="42">
        <v>28</v>
      </c>
    </row>
    <row r="93" spans="1:13" s="2" customFormat="1" ht="10.5">
      <c r="A93" s="67"/>
      <c r="B93" s="19" t="s">
        <v>212</v>
      </c>
      <c r="C93" s="15" t="s">
        <v>129</v>
      </c>
      <c r="D93" s="8" t="s">
        <v>150</v>
      </c>
      <c r="E93" s="42">
        <v>106.5</v>
      </c>
      <c r="F93" s="42">
        <v>263</v>
      </c>
      <c r="G93" s="42">
        <v>219.72</v>
      </c>
      <c r="H93" s="42">
        <v>189.4</v>
      </c>
      <c r="I93" s="42">
        <v>189.4</v>
      </c>
      <c r="J93" s="42">
        <v>89.1</v>
      </c>
      <c r="K93" s="42">
        <v>89.1</v>
      </c>
      <c r="L93" s="42">
        <v>92.6</v>
      </c>
      <c r="M93" s="42">
        <v>92.6</v>
      </c>
    </row>
    <row r="94" spans="1:13" s="2" customFormat="1" ht="10.5">
      <c r="A94" s="67"/>
      <c r="B94" s="19" t="s">
        <v>213</v>
      </c>
      <c r="C94" s="15" t="s">
        <v>130</v>
      </c>
      <c r="D94" s="8" t="s">
        <v>150</v>
      </c>
      <c r="E94" s="42"/>
      <c r="F94" s="42"/>
      <c r="G94" s="42"/>
      <c r="H94" s="42"/>
      <c r="I94" s="42"/>
      <c r="J94" s="42"/>
      <c r="K94" s="42"/>
      <c r="L94" s="42"/>
      <c r="M94" s="42"/>
    </row>
    <row r="95" spans="1:13" s="2" customFormat="1" ht="10.5">
      <c r="A95" s="67"/>
      <c r="B95" s="19" t="s">
        <v>214</v>
      </c>
      <c r="C95" s="15" t="s">
        <v>131</v>
      </c>
      <c r="D95" s="8" t="s">
        <v>150</v>
      </c>
      <c r="E95" s="42">
        <v>565.79999999999995</v>
      </c>
      <c r="F95" s="42">
        <v>623.70000000000005</v>
      </c>
      <c r="G95" s="42">
        <v>852.67</v>
      </c>
      <c r="H95" s="42">
        <v>733.3</v>
      </c>
      <c r="I95" s="42">
        <v>733.3</v>
      </c>
      <c r="J95" s="42">
        <v>769.6</v>
      </c>
      <c r="K95" s="42">
        <v>769.6</v>
      </c>
      <c r="L95" s="42">
        <v>822.9</v>
      </c>
      <c r="M95" s="42">
        <v>822.9</v>
      </c>
    </row>
    <row r="96" spans="1:13" s="2" customFormat="1" ht="10.5">
      <c r="A96" s="67"/>
      <c r="B96" s="19" t="s">
        <v>215</v>
      </c>
      <c r="C96" s="15" t="s">
        <v>132</v>
      </c>
      <c r="D96" s="8" t="s">
        <v>150</v>
      </c>
      <c r="E96" s="42">
        <v>65.8</v>
      </c>
      <c r="F96" s="42">
        <v>77.099999999999994</v>
      </c>
      <c r="G96" s="42">
        <v>111.71</v>
      </c>
      <c r="H96" s="42">
        <v>96.1</v>
      </c>
      <c r="I96" s="42">
        <v>96.1</v>
      </c>
      <c r="J96" s="42">
        <v>91.1</v>
      </c>
      <c r="K96" s="42">
        <v>91.1</v>
      </c>
      <c r="L96" s="42">
        <v>101</v>
      </c>
      <c r="M96" s="42">
        <v>101</v>
      </c>
    </row>
    <row r="97" spans="1:13" s="2" customFormat="1" ht="10.5">
      <c r="A97" s="67"/>
      <c r="B97" s="19" t="s">
        <v>216</v>
      </c>
      <c r="C97" s="15" t="s">
        <v>133</v>
      </c>
      <c r="D97" s="8" t="s">
        <v>150</v>
      </c>
      <c r="E97" s="42"/>
      <c r="F97" s="42"/>
      <c r="G97" s="42"/>
      <c r="H97" s="42"/>
      <c r="I97" s="42"/>
      <c r="J97" s="42"/>
      <c r="K97" s="42"/>
      <c r="L97" s="42"/>
      <c r="M97" s="42"/>
    </row>
    <row r="98" spans="1:13" s="2" customFormat="1" ht="10.5">
      <c r="A98" s="67"/>
      <c r="B98" s="19" t="s">
        <v>217</v>
      </c>
      <c r="C98" s="15" t="s">
        <v>134</v>
      </c>
      <c r="D98" s="8" t="s">
        <v>150</v>
      </c>
      <c r="E98" s="42">
        <v>64.599999999999994</v>
      </c>
      <c r="F98" s="42">
        <v>76.099999999999994</v>
      </c>
      <c r="G98" s="42">
        <v>70.849999999999994</v>
      </c>
      <c r="H98" s="42">
        <v>61.85</v>
      </c>
      <c r="I98" s="42">
        <v>61.85</v>
      </c>
      <c r="J98" s="42">
        <v>66.94</v>
      </c>
      <c r="K98" s="42">
        <v>66.94</v>
      </c>
      <c r="L98" s="42">
        <v>69.959999999999994</v>
      </c>
      <c r="M98" s="42">
        <v>69.959999999999994</v>
      </c>
    </row>
    <row r="99" spans="1:13" s="2" customFormat="1" ht="10.5">
      <c r="A99" s="67"/>
      <c r="B99" s="19" t="s">
        <v>218</v>
      </c>
      <c r="C99" s="15" t="s">
        <v>135</v>
      </c>
      <c r="D99" s="8" t="s">
        <v>150</v>
      </c>
      <c r="E99" s="42">
        <v>13.9</v>
      </c>
      <c r="F99" s="42">
        <v>26.4</v>
      </c>
      <c r="G99" s="42">
        <v>25.5</v>
      </c>
      <c r="H99" s="42">
        <v>22</v>
      </c>
      <c r="I99" s="42">
        <v>22</v>
      </c>
      <c r="J99" s="42">
        <v>36.799999999999997</v>
      </c>
      <c r="K99" s="42">
        <v>36.799999999999997</v>
      </c>
      <c r="L99" s="42">
        <v>26.5</v>
      </c>
      <c r="M99" s="42">
        <v>26.5</v>
      </c>
    </row>
    <row r="100" spans="1:13" s="2" customFormat="1" ht="10.5">
      <c r="A100" s="67"/>
      <c r="B100" s="19" t="s">
        <v>219</v>
      </c>
      <c r="C100" s="15" t="s">
        <v>136</v>
      </c>
      <c r="D100" s="8" t="s">
        <v>150</v>
      </c>
      <c r="E100" s="42">
        <v>0.7</v>
      </c>
      <c r="F100" s="42">
        <v>1.1000000000000001</v>
      </c>
      <c r="G100" s="42">
        <v>1</v>
      </c>
      <c r="H100" s="42">
        <v>1</v>
      </c>
      <c r="I100" s="42">
        <v>1</v>
      </c>
      <c r="J100" s="42">
        <v>1</v>
      </c>
      <c r="K100" s="42">
        <v>1</v>
      </c>
      <c r="L100" s="42">
        <v>1</v>
      </c>
      <c r="M100" s="42">
        <v>1</v>
      </c>
    </row>
    <row r="101" spans="1:13" s="2" customFormat="1" ht="10.5">
      <c r="A101" s="67"/>
      <c r="B101" s="19" t="s">
        <v>220</v>
      </c>
      <c r="C101" s="15" t="s">
        <v>137</v>
      </c>
      <c r="D101" s="8" t="s">
        <v>150</v>
      </c>
      <c r="E101" s="42">
        <v>0.1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</row>
    <row r="102" spans="1:13" s="2" customFormat="1" ht="21" customHeight="1">
      <c r="A102" s="67"/>
      <c r="B102" s="19" t="s">
        <v>221</v>
      </c>
      <c r="C102" s="13" t="s">
        <v>253</v>
      </c>
      <c r="D102" s="8" t="s">
        <v>150</v>
      </c>
      <c r="E102" s="42">
        <v>67.2</v>
      </c>
      <c r="F102" s="42">
        <v>6.2</v>
      </c>
      <c r="G102" s="42">
        <f>G73-G88</f>
        <v>-63.099999999999909</v>
      </c>
      <c r="H102" s="42">
        <f t="shared" ref="H102:M102" si="4">H73-H88</f>
        <v>0</v>
      </c>
      <c r="I102" s="42">
        <f t="shared" si="4"/>
        <v>0</v>
      </c>
      <c r="J102" s="42">
        <f t="shared" si="4"/>
        <v>0</v>
      </c>
      <c r="K102" s="42">
        <f t="shared" si="4"/>
        <v>0</v>
      </c>
      <c r="L102" s="42">
        <f t="shared" si="4"/>
        <v>0</v>
      </c>
      <c r="M102" s="42">
        <f t="shared" si="4"/>
        <v>0</v>
      </c>
    </row>
    <row r="103" spans="1:13" s="2" customFormat="1" ht="10.5">
      <c r="A103" s="67"/>
      <c r="B103" s="19" t="s">
        <v>222</v>
      </c>
      <c r="C103" s="11" t="s">
        <v>254</v>
      </c>
      <c r="D103" s="8" t="s">
        <v>150</v>
      </c>
      <c r="E103" s="42">
        <v>11.7</v>
      </c>
      <c r="F103" s="42">
        <v>5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</row>
    <row r="104" spans="1:13" s="2" customFormat="1" ht="10.5">
      <c r="A104" s="34"/>
      <c r="B104" s="26" t="s">
        <v>223</v>
      </c>
      <c r="C104" s="27" t="s">
        <v>138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1:13" s="2" customFormat="1" ht="14.25" customHeight="1">
      <c r="A105" s="51" t="s">
        <v>160</v>
      </c>
      <c r="B105" s="19" t="s">
        <v>88</v>
      </c>
      <c r="C105" s="10" t="s">
        <v>139</v>
      </c>
      <c r="D105" s="8" t="s">
        <v>58</v>
      </c>
      <c r="E105" s="46">
        <v>99.8</v>
      </c>
      <c r="F105" s="46">
        <v>102.1</v>
      </c>
      <c r="G105" s="46">
        <v>103.2</v>
      </c>
      <c r="H105" s="46">
        <v>103.6</v>
      </c>
      <c r="I105" s="46">
        <v>103.8</v>
      </c>
      <c r="J105" s="46">
        <v>102</v>
      </c>
      <c r="K105" s="46">
        <v>102.2</v>
      </c>
      <c r="L105" s="46">
        <v>101</v>
      </c>
      <c r="M105" s="46">
        <v>101.3</v>
      </c>
    </row>
    <row r="106" spans="1:13" s="2" customFormat="1" ht="30.95" customHeight="1">
      <c r="A106" s="51"/>
      <c r="B106" s="19" t="s">
        <v>90</v>
      </c>
      <c r="C106" s="11" t="s">
        <v>140</v>
      </c>
      <c r="D106" s="8" t="s">
        <v>152</v>
      </c>
      <c r="E106" s="42">
        <v>16564</v>
      </c>
      <c r="F106" s="42">
        <v>17106</v>
      </c>
      <c r="G106" s="42">
        <v>18389</v>
      </c>
      <c r="H106" s="42">
        <v>21102</v>
      </c>
      <c r="I106" s="42">
        <v>21102</v>
      </c>
      <c r="J106" s="42">
        <v>23419</v>
      </c>
      <c r="K106" s="42">
        <v>23763</v>
      </c>
      <c r="L106" s="42">
        <v>25107</v>
      </c>
      <c r="M106" s="42">
        <v>25865</v>
      </c>
    </row>
    <row r="107" spans="1:13" s="2" customFormat="1" ht="10.5">
      <c r="A107" s="51"/>
      <c r="B107" s="19" t="s">
        <v>224</v>
      </c>
      <c r="C107" s="15" t="s">
        <v>141</v>
      </c>
      <c r="D107" s="8" t="s">
        <v>152</v>
      </c>
      <c r="E107" s="42">
        <v>18054</v>
      </c>
      <c r="F107" s="42">
        <v>18646</v>
      </c>
      <c r="G107" s="42">
        <v>20044</v>
      </c>
      <c r="H107" s="42">
        <v>23001</v>
      </c>
      <c r="I107" s="42" t="s">
        <v>260</v>
      </c>
      <c r="J107" s="42" t="s">
        <v>260</v>
      </c>
      <c r="K107" s="42" t="s">
        <v>260</v>
      </c>
      <c r="L107" s="42" t="s">
        <v>260</v>
      </c>
      <c r="M107" s="42" t="s">
        <v>260</v>
      </c>
    </row>
    <row r="108" spans="1:13" s="2" customFormat="1" ht="10.5">
      <c r="A108" s="51"/>
      <c r="B108" s="19" t="s">
        <v>225</v>
      </c>
      <c r="C108" s="15" t="s">
        <v>142</v>
      </c>
      <c r="D108" s="8" t="s">
        <v>152</v>
      </c>
      <c r="E108" s="42">
        <v>14245</v>
      </c>
      <c r="F108" s="42">
        <v>14711</v>
      </c>
      <c r="G108" s="42">
        <v>15815</v>
      </c>
      <c r="H108" s="42">
        <v>18148</v>
      </c>
      <c r="I108" s="42" t="s">
        <v>260</v>
      </c>
      <c r="J108" s="42" t="s">
        <v>260</v>
      </c>
      <c r="K108" s="42" t="s">
        <v>260</v>
      </c>
      <c r="L108" s="42" t="s">
        <v>260</v>
      </c>
      <c r="M108" s="42" t="s">
        <v>260</v>
      </c>
    </row>
    <row r="109" spans="1:13" s="2" customFormat="1" ht="10.5">
      <c r="A109" s="51"/>
      <c r="B109" s="19" t="s">
        <v>226</v>
      </c>
      <c r="C109" s="15" t="s">
        <v>143</v>
      </c>
      <c r="D109" s="8" t="s">
        <v>152</v>
      </c>
      <c r="E109" s="42">
        <v>17628</v>
      </c>
      <c r="F109" s="42">
        <v>18210</v>
      </c>
      <c r="G109" s="42">
        <v>19029</v>
      </c>
      <c r="H109" s="42">
        <v>20469</v>
      </c>
      <c r="I109" s="42" t="s">
        <v>260</v>
      </c>
      <c r="J109" s="42" t="s">
        <v>260</v>
      </c>
      <c r="K109" s="42" t="s">
        <v>260</v>
      </c>
      <c r="L109" s="42" t="s">
        <v>260</v>
      </c>
      <c r="M109" s="42" t="s">
        <v>260</v>
      </c>
    </row>
    <row r="110" spans="1:13" s="2" customFormat="1" ht="31.5">
      <c r="A110" s="38"/>
      <c r="B110" s="19" t="s">
        <v>93</v>
      </c>
      <c r="C110" s="39" t="s">
        <v>166</v>
      </c>
      <c r="D110" s="8" t="s">
        <v>165</v>
      </c>
      <c r="E110" s="43">
        <v>17082</v>
      </c>
      <c r="F110" s="43">
        <v>13824</v>
      </c>
      <c r="G110" s="43">
        <f>F110*100.1/100</f>
        <v>13837.823999999999</v>
      </c>
      <c r="H110" s="43">
        <f>G110*100.3/100</f>
        <v>13879.337471999999</v>
      </c>
      <c r="I110" s="43">
        <f>G110*100.8/100</f>
        <v>13948.526591999998</v>
      </c>
      <c r="J110" s="43">
        <f>H110*100.9/100</f>
        <v>14004.251509247999</v>
      </c>
      <c r="K110" s="43">
        <f>I110*101.1/100</f>
        <v>14101.960384511996</v>
      </c>
      <c r="L110" s="43">
        <f>J110*101.2/100</f>
        <v>14172.302527358974</v>
      </c>
      <c r="M110" s="43">
        <f>K110*101.3/100</f>
        <v>14285.285869510652</v>
      </c>
    </row>
    <row r="111" spans="1:13" s="2" customFormat="1" ht="21">
      <c r="A111" s="38"/>
      <c r="B111" s="19" t="s">
        <v>95</v>
      </c>
      <c r="C111" s="39" t="s">
        <v>167</v>
      </c>
      <c r="D111" s="8" t="s">
        <v>168</v>
      </c>
      <c r="E111" s="42">
        <v>179.85</v>
      </c>
      <c r="F111" s="42">
        <v>198.86</v>
      </c>
      <c r="G111" s="42">
        <f>F111*100.1/100</f>
        <v>199.05885999999998</v>
      </c>
      <c r="H111" s="42">
        <f>G111*100.3/100</f>
        <v>199.65603657999998</v>
      </c>
      <c r="I111" s="42">
        <f>G111*100.8/100</f>
        <v>200.65133087999999</v>
      </c>
      <c r="J111" s="42">
        <f>H111*100.9/100</f>
        <v>201.45294090921999</v>
      </c>
      <c r="K111" s="42">
        <f>I111*101.1/100</f>
        <v>202.85849551967996</v>
      </c>
      <c r="L111" s="42">
        <f>J111*101.2/100</f>
        <v>203.87037620013064</v>
      </c>
      <c r="M111" s="42">
        <f>K111*101.3/100</f>
        <v>205.4956559614358</v>
      </c>
    </row>
    <row r="112" spans="1:13" s="2" customFormat="1" ht="21" customHeight="1">
      <c r="A112" s="37" t="s">
        <v>163</v>
      </c>
      <c r="B112" s="19" t="s">
        <v>97</v>
      </c>
      <c r="C112" s="11" t="s">
        <v>164</v>
      </c>
      <c r="D112" s="8" t="s">
        <v>165</v>
      </c>
      <c r="E112" s="43" t="s">
        <v>260</v>
      </c>
      <c r="F112" s="43" t="s">
        <v>260</v>
      </c>
      <c r="G112" s="43" t="s">
        <v>260</v>
      </c>
      <c r="H112" s="43" t="s">
        <v>260</v>
      </c>
      <c r="I112" s="43" t="s">
        <v>260</v>
      </c>
      <c r="J112" s="43" t="s">
        <v>260</v>
      </c>
      <c r="K112" s="43" t="s">
        <v>260</v>
      </c>
      <c r="L112" s="43" t="s">
        <v>260</v>
      </c>
      <c r="M112" s="43" t="s">
        <v>260</v>
      </c>
    </row>
    <row r="113" spans="1:13" s="2" customFormat="1" ht="10.5">
      <c r="A113" s="34"/>
      <c r="B113" s="26" t="s">
        <v>227</v>
      </c>
      <c r="C113" s="27" t="s">
        <v>144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1:13" s="2" customFormat="1" ht="10.5">
      <c r="A114" s="51" t="s">
        <v>160</v>
      </c>
      <c r="B114" s="19" t="s">
        <v>106</v>
      </c>
      <c r="C114" s="23" t="s">
        <v>145</v>
      </c>
      <c r="D114" s="1" t="s">
        <v>158</v>
      </c>
      <c r="E114" s="46">
        <v>13.89</v>
      </c>
      <c r="F114" s="46">
        <v>13.58</v>
      </c>
      <c r="G114" s="46">
        <v>13.686999999999999</v>
      </c>
      <c r="H114" s="46">
        <f>G114*98.5/100</f>
        <v>13.481695</v>
      </c>
      <c r="I114" s="46">
        <f>G114*98.7/100</f>
        <v>13.509069</v>
      </c>
      <c r="J114" s="46">
        <f>H114*98.6/100</f>
        <v>13.292951269999998</v>
      </c>
      <c r="K114" s="46">
        <f>I114*98.8/100</f>
        <v>13.346960171999999</v>
      </c>
      <c r="L114" s="46">
        <f>J114*98.6/100</f>
        <v>13.106849952219997</v>
      </c>
      <c r="M114" s="46">
        <f>K114*98.8/100</f>
        <v>13.186796649935999</v>
      </c>
    </row>
    <row r="115" spans="1:13" s="2" customFormat="1" ht="21">
      <c r="A115" s="51"/>
      <c r="B115" s="19" t="s">
        <v>107</v>
      </c>
      <c r="C115" s="23" t="s">
        <v>268</v>
      </c>
      <c r="D115" s="1" t="s">
        <v>158</v>
      </c>
      <c r="E115" s="46">
        <v>12.715999999999999</v>
      </c>
      <c r="F115" s="46">
        <v>12.664</v>
      </c>
      <c r="G115" s="46">
        <f>F115*99.6/100</f>
        <v>12.613344</v>
      </c>
      <c r="H115" s="46">
        <f>G115*99.7/100</f>
        <v>12.575503968</v>
      </c>
      <c r="I115" s="46">
        <f>G115*100.4/100</f>
        <v>12.663797376</v>
      </c>
      <c r="J115" s="46">
        <f>H115*99.8/100</f>
        <v>12.550352960063998</v>
      </c>
      <c r="K115" s="46">
        <f>I115*100.6/100</f>
        <v>12.739780160255998</v>
      </c>
      <c r="L115" s="46">
        <f>I115*99.9/100</f>
        <v>12.651133578624002</v>
      </c>
      <c r="M115" s="46">
        <f>K115*100.7/100</f>
        <v>12.82895862137779</v>
      </c>
    </row>
    <row r="116" spans="1:13" s="2" customFormat="1" ht="10.5">
      <c r="A116" s="51"/>
      <c r="B116" s="19" t="s">
        <v>228</v>
      </c>
      <c r="C116" s="15" t="s">
        <v>264</v>
      </c>
      <c r="D116" s="1" t="s">
        <v>158</v>
      </c>
      <c r="E116" s="46">
        <v>12.4</v>
      </c>
      <c r="F116" s="46">
        <v>12.42</v>
      </c>
      <c r="G116" s="46">
        <v>12.3</v>
      </c>
      <c r="H116" s="46">
        <f>G116*98.5/100</f>
        <v>12.115500000000003</v>
      </c>
      <c r="I116" s="46">
        <f>G116*98.6/100</f>
        <v>12.127800000000001</v>
      </c>
      <c r="J116" s="46">
        <f>H116*100.3/100</f>
        <v>12.151846500000001</v>
      </c>
      <c r="K116" s="46">
        <f>I116*100.4/100</f>
        <v>12.176311200000002</v>
      </c>
      <c r="L116" s="46">
        <f>J116*100.5/100</f>
        <v>12.212605732500002</v>
      </c>
      <c r="M116" s="46">
        <f>K116*100.7/100</f>
        <v>12.261545378400003</v>
      </c>
    </row>
    <row r="117" spans="1:13" s="2" customFormat="1" ht="10.5">
      <c r="A117" s="51"/>
      <c r="B117" s="19" t="s">
        <v>229</v>
      </c>
      <c r="C117" s="15" t="s">
        <v>159</v>
      </c>
      <c r="D117" s="1" t="s">
        <v>158</v>
      </c>
      <c r="E117" s="48" t="s">
        <v>260</v>
      </c>
      <c r="F117" s="46" t="s">
        <v>260</v>
      </c>
      <c r="G117" s="46" t="s">
        <v>260</v>
      </c>
      <c r="H117" s="46" t="s">
        <v>260</v>
      </c>
      <c r="I117" s="48" t="s">
        <v>260</v>
      </c>
      <c r="J117" s="48" t="s">
        <v>260</v>
      </c>
      <c r="K117" s="48" t="s">
        <v>260</v>
      </c>
      <c r="L117" s="48" t="s">
        <v>260</v>
      </c>
      <c r="M117" s="48" t="s">
        <v>260</v>
      </c>
    </row>
    <row r="118" spans="1:13" s="2" customFormat="1" ht="19.5" customHeight="1">
      <c r="A118" s="51"/>
      <c r="B118" s="19" t="s">
        <v>230</v>
      </c>
      <c r="C118" s="24" t="s">
        <v>266</v>
      </c>
      <c r="D118" s="1" t="s">
        <v>158</v>
      </c>
      <c r="E118" s="46">
        <f>E119+E120</f>
        <v>1.4500000000000002</v>
      </c>
      <c r="F118" s="46">
        <f t="shared" ref="F118:M118" si="5">F119+F120</f>
        <v>1.4</v>
      </c>
      <c r="G118" s="46">
        <f t="shared" si="5"/>
        <v>1.4212199999999997</v>
      </c>
      <c r="H118" s="46">
        <f t="shared" si="5"/>
        <v>1.4129016999999997</v>
      </c>
      <c r="I118" s="46">
        <f t="shared" si="5"/>
        <v>1.4253441399999998</v>
      </c>
      <c r="J118" s="46">
        <f t="shared" si="5"/>
        <v>1.4065610761999996</v>
      </c>
      <c r="K118" s="46">
        <f t="shared" si="5"/>
        <v>1.42408001032</v>
      </c>
      <c r="L118" s="46">
        <f t="shared" si="5"/>
        <v>1.3994562211331996</v>
      </c>
      <c r="M118" s="46">
        <f t="shared" si="5"/>
        <v>1.4165894501961598</v>
      </c>
    </row>
    <row r="119" spans="1:13" s="2" customFormat="1" ht="10.5">
      <c r="A119" s="51"/>
      <c r="B119" s="25" t="s">
        <v>231</v>
      </c>
      <c r="C119" s="16" t="s">
        <v>265</v>
      </c>
      <c r="D119" s="1" t="s">
        <v>158</v>
      </c>
      <c r="E119" s="46">
        <v>1.33</v>
      </c>
      <c r="F119" s="46">
        <v>1.22</v>
      </c>
      <c r="G119" s="46">
        <f>F119*100.1/100</f>
        <v>1.2212199999999998</v>
      </c>
      <c r="H119" s="46">
        <f>G119*98.5/100</f>
        <v>1.2029016999999997</v>
      </c>
      <c r="I119" s="46">
        <f>G119*98.7/100</f>
        <v>1.2053441399999998</v>
      </c>
      <c r="J119" s="46">
        <f>H119*98.6/100</f>
        <v>1.1860610761999997</v>
      </c>
      <c r="K119" s="46">
        <f>I119*98.8/100</f>
        <v>1.1908800103199999</v>
      </c>
      <c r="L119" s="46">
        <f>J119*98.6/100</f>
        <v>1.1694562211331996</v>
      </c>
      <c r="M119" s="46">
        <f>K119*98.8/100</f>
        <v>1.1765894501961598</v>
      </c>
    </row>
    <row r="120" spans="1:13" s="2" customFormat="1" ht="10.5">
      <c r="A120" s="51"/>
      <c r="B120" s="25" t="s">
        <v>232</v>
      </c>
      <c r="C120" s="16" t="s">
        <v>267</v>
      </c>
      <c r="D120" s="1" t="s">
        <v>158</v>
      </c>
      <c r="E120" s="46">
        <v>0.12</v>
      </c>
      <c r="F120" s="46">
        <v>0.18</v>
      </c>
      <c r="G120" s="46">
        <v>0.2</v>
      </c>
      <c r="H120" s="46">
        <v>0.21</v>
      </c>
      <c r="I120" s="46">
        <v>0.22</v>
      </c>
      <c r="J120" s="46">
        <f>H120*105/100</f>
        <v>0.2205</v>
      </c>
      <c r="K120" s="46">
        <f>I120*106/100</f>
        <v>0.23319999999999999</v>
      </c>
      <c r="L120" s="46">
        <v>0.23</v>
      </c>
      <c r="M120" s="46">
        <v>0.24</v>
      </c>
    </row>
    <row r="121" spans="1:13" s="2" customFormat="1" ht="31.5">
      <c r="A121" s="51"/>
      <c r="B121" s="19" t="s">
        <v>109</v>
      </c>
      <c r="C121" s="11" t="s">
        <v>256</v>
      </c>
      <c r="D121" s="8" t="s">
        <v>146</v>
      </c>
      <c r="E121" s="42">
        <v>59943.7</v>
      </c>
      <c r="F121" s="42">
        <v>66827.199999999997</v>
      </c>
      <c r="G121" s="42">
        <v>83116.899999999994</v>
      </c>
      <c r="H121" s="42">
        <f>G121*H122/100</f>
        <v>89683.1351</v>
      </c>
      <c r="I121" s="42">
        <f>G121*I122/100</f>
        <v>90098.719599999997</v>
      </c>
      <c r="J121" s="42">
        <f>H121*J122/100</f>
        <v>95512.53888149999</v>
      </c>
      <c r="K121" s="42">
        <f>I121*K122/100</f>
        <v>96405.629971999995</v>
      </c>
      <c r="L121" s="42">
        <f>J121*L122/100</f>
        <v>101338.80375327148</v>
      </c>
      <c r="M121" s="42">
        <f>K121*M122/100</f>
        <v>102768.40155015199</v>
      </c>
    </row>
    <row r="122" spans="1:13" s="2" customFormat="1" ht="31.5">
      <c r="A122" s="51"/>
      <c r="B122" s="19" t="s">
        <v>110</v>
      </c>
      <c r="C122" s="11" t="s">
        <v>257</v>
      </c>
      <c r="D122" s="8" t="s">
        <v>58</v>
      </c>
      <c r="E122" s="46">
        <v>100.9</v>
      </c>
      <c r="F122" s="46">
        <v>111.48</v>
      </c>
      <c r="G122" s="46">
        <v>124.4</v>
      </c>
      <c r="H122" s="46">
        <v>107.9</v>
      </c>
      <c r="I122" s="46">
        <v>108.4</v>
      </c>
      <c r="J122" s="46">
        <v>106.5</v>
      </c>
      <c r="K122" s="46">
        <v>107</v>
      </c>
      <c r="L122" s="46">
        <v>106.1</v>
      </c>
      <c r="M122" s="46">
        <v>106.6</v>
      </c>
    </row>
    <row r="123" spans="1:13" s="2" customFormat="1" ht="10.5">
      <c r="A123" s="51"/>
      <c r="B123" s="19" t="s">
        <v>112</v>
      </c>
      <c r="C123" s="11" t="s">
        <v>274</v>
      </c>
      <c r="D123" s="50" t="s">
        <v>275</v>
      </c>
      <c r="E123" s="46" t="s">
        <v>260</v>
      </c>
      <c r="F123" s="46" t="s">
        <v>260</v>
      </c>
      <c r="G123" s="46" t="s">
        <v>260</v>
      </c>
      <c r="H123" s="46" t="s">
        <v>260</v>
      </c>
      <c r="I123" s="46" t="s">
        <v>260</v>
      </c>
      <c r="J123" s="46" t="s">
        <v>260</v>
      </c>
      <c r="K123" s="46" t="s">
        <v>260</v>
      </c>
      <c r="L123" s="46" t="s">
        <v>260</v>
      </c>
      <c r="M123" s="46" t="s">
        <v>260</v>
      </c>
    </row>
    <row r="124" spans="1:13" s="2" customFormat="1" ht="18.75" customHeight="1">
      <c r="A124" s="51"/>
      <c r="B124" s="19" t="s">
        <v>114</v>
      </c>
      <c r="C124" s="11" t="s">
        <v>258</v>
      </c>
      <c r="D124" s="8" t="s">
        <v>58</v>
      </c>
      <c r="E124" s="46">
        <v>100.9</v>
      </c>
      <c r="F124" s="46">
        <v>108.4</v>
      </c>
      <c r="G124" s="46">
        <v>112.1</v>
      </c>
      <c r="H124" s="46">
        <v>107.9</v>
      </c>
      <c r="I124" s="46">
        <v>116.6</v>
      </c>
      <c r="J124" s="46">
        <v>106.5</v>
      </c>
      <c r="K124" s="46">
        <v>115.9</v>
      </c>
      <c r="L124" s="46">
        <v>106.1</v>
      </c>
      <c r="M124" s="46">
        <v>110.6</v>
      </c>
    </row>
    <row r="125" spans="1:13" s="2" customFormat="1" ht="19.5" customHeight="1">
      <c r="A125" s="68"/>
      <c r="B125" s="19" t="s">
        <v>116</v>
      </c>
      <c r="C125" s="11" t="s">
        <v>147</v>
      </c>
      <c r="D125" s="8" t="s">
        <v>94</v>
      </c>
      <c r="E125" s="46">
        <f t="shared" ref="E125:M125" si="6">E126/E114*100</f>
        <v>1.3318934485241181</v>
      </c>
      <c r="F125" s="46">
        <f t="shared" si="6"/>
        <v>1.3622974963181149</v>
      </c>
      <c r="G125" s="46">
        <f t="shared" si="6"/>
        <v>1.1105428508803976</v>
      </c>
      <c r="H125" s="46">
        <f t="shared" si="6"/>
        <v>1.1173075789060647</v>
      </c>
      <c r="I125" s="46">
        <f t="shared" si="6"/>
        <v>1.0992911502635749</v>
      </c>
      <c r="J125" s="46">
        <f t="shared" si="6"/>
        <v>1.1195739228795052</v>
      </c>
      <c r="K125" s="46">
        <f t="shared" si="6"/>
        <v>1.0803762215647077</v>
      </c>
      <c r="L125" s="46">
        <f t="shared" si="6"/>
        <v>1.1138965703294064</v>
      </c>
      <c r="M125" s="46">
        <f t="shared" si="6"/>
        <v>1.0508517701656719</v>
      </c>
    </row>
    <row r="126" spans="1:13" s="2" customFormat="1" ht="30.75" customHeight="1">
      <c r="A126" s="68"/>
      <c r="B126" s="19" t="s">
        <v>273</v>
      </c>
      <c r="C126" s="11" t="s">
        <v>148</v>
      </c>
      <c r="D126" s="8" t="s">
        <v>31</v>
      </c>
      <c r="E126" s="45">
        <v>0.185</v>
      </c>
      <c r="F126" s="45">
        <v>0.185</v>
      </c>
      <c r="G126" s="45">
        <v>0.152</v>
      </c>
      <c r="H126" s="45">
        <f>G126*99.1/100</f>
        <v>0.15063199999999999</v>
      </c>
      <c r="I126" s="45">
        <f>G126*97.7/100</f>
        <v>0.148504</v>
      </c>
      <c r="J126" s="45">
        <f>H126*98.8/100</f>
        <v>0.14882441599999999</v>
      </c>
      <c r="K126" s="45">
        <f>I126*97.1/100</f>
        <v>0.14419738399999998</v>
      </c>
      <c r="L126" s="45">
        <f>J126*98.1/100</f>
        <v>0.14599675209599997</v>
      </c>
      <c r="M126" s="45">
        <f>K126*96.1/100</f>
        <v>0.13857368602399997</v>
      </c>
    </row>
    <row r="127" spans="1:13" s="2" customFormat="1">
      <c r="A127" s="34"/>
      <c r="B127" s="69" t="s">
        <v>156</v>
      </c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</row>
    <row r="128" spans="1:13" s="3" customFormat="1">
      <c r="A128" s="5"/>
      <c r="B128" s="71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</row>
    <row r="129" spans="1:13" s="3" customFormat="1">
      <c r="A129" s="5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</row>
    <row r="130" spans="1:13">
      <c r="B130" s="66"/>
      <c r="C130" s="66"/>
    </row>
    <row r="131" spans="1:13">
      <c r="B131" s="66"/>
      <c r="C131" s="66"/>
    </row>
  </sheetData>
  <mergeCells count="32">
    <mergeCell ref="J1:M1"/>
    <mergeCell ref="J2:M2"/>
    <mergeCell ref="A11:A18"/>
    <mergeCell ref="B131:C131"/>
    <mergeCell ref="A45:A52"/>
    <mergeCell ref="A54:A56"/>
    <mergeCell ref="A58:A71"/>
    <mergeCell ref="A73:A103"/>
    <mergeCell ref="A125:A126"/>
    <mergeCell ref="B127:M127"/>
    <mergeCell ref="A105:A109"/>
    <mergeCell ref="A20:A29"/>
    <mergeCell ref="B128:M128"/>
    <mergeCell ref="B130:C130"/>
    <mergeCell ref="A33:A38"/>
    <mergeCell ref="A114:A124"/>
    <mergeCell ref="A40:A42"/>
    <mergeCell ref="B4:M4"/>
    <mergeCell ref="H6:M6"/>
    <mergeCell ref="E7:E9"/>
    <mergeCell ref="F7:F9"/>
    <mergeCell ref="G7:G9"/>
    <mergeCell ref="J7:K7"/>
    <mergeCell ref="L8:M8"/>
    <mergeCell ref="C6:C9"/>
    <mergeCell ref="B6:B9"/>
    <mergeCell ref="L7:M7"/>
    <mergeCell ref="H8:I8"/>
    <mergeCell ref="D6:D9"/>
    <mergeCell ref="H7:I7"/>
    <mergeCell ref="J8:K8"/>
    <mergeCell ref="E6:F6"/>
  </mergeCells>
  <pageMargins left="1.1811023622047245" right="0.98425196850393704" top="1.1811023622047245" bottom="0.98425196850393704" header="0.70866141732283472" footer="0.51181102362204722"/>
  <pageSetup paperSize="9" scale="87" fitToHeight="0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2-П СВОД</vt:lpstr>
      <vt:lpstr>'2-П СВОД'!Заголовки_для_печати</vt:lpstr>
      <vt:lpstr>'2-П СВОД'!Область_печати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RobotComp.ru</cp:lastModifiedBy>
  <cp:lastPrinted>2024-10-23T00:04:55Z</cp:lastPrinted>
  <dcterms:created xsi:type="dcterms:W3CDTF">2018-10-15T12:06:40Z</dcterms:created>
  <dcterms:modified xsi:type="dcterms:W3CDTF">2024-10-29T07:11:49Z</dcterms:modified>
</cp:coreProperties>
</file>